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832" activeTab="1"/>
  </bookViews>
  <sheets>
    <sheet name="Select Winches" sheetId="1" r:id="rId1"/>
    <sheet name="Vessel Sheet Loads" sheetId="2" r:id="rId2"/>
    <sheet name="Comparative Handle Loads" sheetId="3" r:id="rId3"/>
    <sheet name="Price Analysis" sheetId="4" r:id="rId4"/>
    <sheet name="Harken Winch Specs" sheetId="5" r:id="rId5"/>
    <sheet name="Anderson Winch Specs" sheetId="6" r:id="rId6"/>
    <sheet name="Lewmar Winch Specs" sheetId="7" r:id="rId7"/>
  </sheets>
  <definedNames>
    <definedName name="AndersonPromo">'Anderson Winch Specs'!$Q$14:$Q$19</definedName>
    <definedName name="AndersonSpecs">'Anderson Winch Specs'!$A$14:$Q$19</definedName>
    <definedName name="AndersonSpecsPartno">'Anderson Winch Specs'!$A$14:$A$19</definedName>
    <definedName name="E">'Vessel Sheet Loads'!$B$14</definedName>
    <definedName name="E_2">'Vessel Sheet Loads'!$C$14</definedName>
    <definedName name="E_3">'Vessel Sheet Loads'!$D$14</definedName>
    <definedName name="E_4">'Vessel Sheet Loads'!$E$14</definedName>
    <definedName name="FrictionLosses">'Comparative Handle Loads'!$B$5</definedName>
    <definedName name="Harken3SpeedFlagCell">'Comparative Handle Loads'!$D$74</definedName>
    <definedName name="Harken3SpeedLoads">'Comparative Handle Loads'!$70:$76</definedName>
    <definedName name="HarkenSpecs">'Harken Winch Specs'!$A$5:$P$20</definedName>
    <definedName name="HarkenSpecsPartno">'Harken Winch Specs'!$A$5:$A$20</definedName>
    <definedName name="KgPerLb">'Vessel Sheet Loads'!$O$2</definedName>
    <definedName name="LenHandle">'Comparative Handle Loads'!$B$3</definedName>
    <definedName name="LewmarSpecs">'Lewmar Winch Specs'!$A$5:$P$13</definedName>
    <definedName name="LewmarSpecsPartno">'Lewmar Winch Specs'!$A$5:$A$13</definedName>
    <definedName name="MaxHandleLoad">'Comparative Handle Loads'!$B$4</definedName>
    <definedName name="P">'Vessel Sheet Loads'!$B$13</definedName>
    <definedName name="P_2">'Vessel Sheet Loads'!$C$13</definedName>
    <definedName name="P_3">'Vessel Sheet Loads'!$D$13</definedName>
    <definedName name="P_4">'Vessel Sheet Loads'!$E$13</definedName>
    <definedName name="_xlnm.Print_Titles" localSheetId="2">'Comparative Handle Loads'!$1:$1</definedName>
    <definedName name="_xlnm.Print_Titles" localSheetId="1">'Vessel Sheet Loads'!$1:$1</definedName>
    <definedName name="tp">'Vessel Sheet Loads'!$Q$1</definedName>
    <definedName name="TravellerBlock">'Vessel Sheet Loads'!$P$4:$Q$11</definedName>
    <definedName name="Types">'Select Winches'!$A$8:$A$10</definedName>
    <definedName name="UseFPS">'Vessel Sheet Loads'!$O$1</definedName>
    <definedName name="X">'Vessel Sheet Loads'!$B$15</definedName>
    <definedName name="X_2">'Vessel Sheet Loads'!$C$15</definedName>
    <definedName name="X_3">'Vessel Sheet Loads'!$D$15</definedName>
    <definedName name="X_4">'Vessel Sheet Loads'!$E$15</definedName>
  </definedNames>
  <calcPr fullCalcOnLoad="1"/>
</workbook>
</file>

<file path=xl/sharedStrings.xml><?xml version="1.0" encoding="utf-8"?>
<sst xmlns="http://schemas.openxmlformats.org/spreadsheetml/2006/main" count="384" uniqueCount="196">
  <si>
    <t>Sail</t>
  </si>
  <si>
    <t>Square Feet</t>
  </si>
  <si>
    <t>Working Staysail</t>
  </si>
  <si>
    <t>Storm Staysail</t>
  </si>
  <si>
    <t>Function</t>
  </si>
  <si>
    <t>Model</t>
  </si>
  <si>
    <t>28ST</t>
  </si>
  <si>
    <t>40ST</t>
  </si>
  <si>
    <t>52ST</t>
  </si>
  <si>
    <t>B40.2STC</t>
  </si>
  <si>
    <t>B32.2STC</t>
  </si>
  <si>
    <t>Harken Chrome</t>
  </si>
  <si>
    <t>Lewmar Chrome</t>
  </si>
  <si>
    <t>54CST</t>
  </si>
  <si>
    <t>40CST</t>
  </si>
  <si>
    <t>30CST</t>
  </si>
  <si>
    <t>Anderson (S/S)</t>
  </si>
  <si>
    <t>Power Ratio</t>
  </si>
  <si>
    <t>Weight</t>
  </si>
  <si>
    <t>Drum</t>
  </si>
  <si>
    <t>Base</t>
  </si>
  <si>
    <t>Height</t>
  </si>
  <si>
    <t>Line</t>
  </si>
  <si>
    <t>Entry</t>
  </si>
  <si>
    <t>5/16-1/2</t>
  </si>
  <si>
    <t>5/16-9/16</t>
  </si>
  <si>
    <t>5/16-5/8</t>
  </si>
  <si>
    <t>5/16-11/16</t>
  </si>
  <si>
    <t>Area</t>
  </si>
  <si>
    <t>70mm</t>
  </si>
  <si>
    <t>76mm</t>
  </si>
  <si>
    <t>114mm</t>
  </si>
  <si>
    <t>125mm</t>
  </si>
  <si>
    <t>152mm</t>
  </si>
  <si>
    <t>130mm</t>
  </si>
  <si>
    <t>172mm</t>
  </si>
  <si>
    <t>Line Entry</t>
  </si>
  <si>
    <t>40mm</t>
  </si>
  <si>
    <t>62mm</t>
  </si>
  <si>
    <t>68mm</t>
  </si>
  <si>
    <t>Line Size</t>
  </si>
  <si>
    <t>10-12mm</t>
  </si>
  <si>
    <t>Gear Ratio</t>
  </si>
  <si>
    <t>1st Speed</t>
  </si>
  <si>
    <t>2nd Speed</t>
  </si>
  <si>
    <t>90mm</t>
  </si>
  <si>
    <t>100mm</t>
  </si>
  <si>
    <t>115mm</t>
  </si>
  <si>
    <t>180mm</t>
  </si>
  <si>
    <t>200mm</t>
  </si>
  <si>
    <t>230mm</t>
  </si>
  <si>
    <t>205mm</t>
  </si>
  <si>
    <t>225mm</t>
  </si>
  <si>
    <t>258mm</t>
  </si>
  <si>
    <t>85mm</t>
  </si>
  <si>
    <t>98mm</t>
  </si>
  <si>
    <t>12-14mm</t>
  </si>
  <si>
    <t>12-16mm</t>
  </si>
  <si>
    <t>14-18mm</t>
  </si>
  <si>
    <t>Part No.</t>
  </si>
  <si>
    <t>Dia.(ins)</t>
  </si>
  <si>
    <t>(ins)</t>
  </si>
  <si>
    <t>Hght.(ins)</t>
  </si>
  <si>
    <t>Min.</t>
  </si>
  <si>
    <t>Max</t>
  </si>
  <si>
    <t>Harken Winch Specs</t>
  </si>
  <si>
    <t>Asym. Cr. Spinnaker</t>
  </si>
  <si>
    <t>Lewmar Self Tailing Winches</t>
  </si>
  <si>
    <t>Harken Winch Handle Load (lbs.) for Apparent Wind (Knots)</t>
  </si>
  <si>
    <t>Anderson Winch Handle Load (lbs.) for Apparent Wind (Knots)</t>
  </si>
  <si>
    <t>Lewmar Winch Handle Load (lbs.) for Apparent Wind (Knots)</t>
  </si>
  <si>
    <t>1st Gear Ratio</t>
  </si>
  <si>
    <t>2nd Gear Ratio</t>
  </si>
  <si>
    <t>1st Power Ratio</t>
  </si>
  <si>
    <t>2nd Power Ratio</t>
  </si>
  <si>
    <t>B</t>
  </si>
  <si>
    <t>D</t>
  </si>
  <si>
    <t>H</t>
  </si>
  <si>
    <t>COMPARISON OF SPECIFICATIONS</t>
  </si>
  <si>
    <t>Power Ratio = ( 2 * length of handle * gear ratio ) / diameter of drum</t>
  </si>
  <si>
    <t>Calculated Power Ratios</t>
  </si>
  <si>
    <t>Length of Handle (in.) =</t>
  </si>
  <si>
    <t>1st</t>
  </si>
  <si>
    <t>2nd</t>
  </si>
  <si>
    <t>3rd</t>
  </si>
  <si>
    <t>3rd Speed</t>
  </si>
  <si>
    <t>46ST</t>
  </si>
  <si>
    <t>58ST</t>
  </si>
  <si>
    <t>12ST</t>
  </si>
  <si>
    <t>3/8 - 1/2</t>
  </si>
  <si>
    <t>1/2 - 9/16</t>
  </si>
  <si>
    <t>9/16 - 11/16</t>
  </si>
  <si>
    <t>Anderson Self Tailing Winches (Metric)</t>
  </si>
  <si>
    <t>Anderson Self Tailing Winches (English)</t>
  </si>
  <si>
    <t>kg</t>
  </si>
  <si>
    <t>SIZE</t>
  </si>
  <si>
    <t>SPEEDS</t>
  </si>
  <si>
    <t>lbs</t>
  </si>
  <si>
    <t>16CST</t>
  </si>
  <si>
    <t>44CST</t>
  </si>
  <si>
    <t>48CST</t>
  </si>
  <si>
    <t>50CST</t>
  </si>
  <si>
    <t>58CST</t>
  </si>
  <si>
    <t>Mfg. Rated Power Ratio</t>
  </si>
  <si>
    <t>64CST</t>
  </si>
  <si>
    <t>Primary</t>
  </si>
  <si>
    <t>Secondary</t>
  </si>
  <si>
    <t>Trim</t>
  </si>
  <si>
    <t>3rd Power Ratio</t>
  </si>
  <si>
    <t>in.</t>
  </si>
  <si>
    <t>* "3rd Power Ratio" actually refers to the LOWEST power ratio.  Only Harken has 3-speed winchs.</t>
  </si>
  <si>
    <t>Comparative Winch Handle Loads</t>
  </si>
  <si>
    <t>3rd Gear Ratio*</t>
  </si>
  <si>
    <t>For manufacturer's power ratios see following Specs worksheets</t>
  </si>
  <si>
    <t>Furling Genoa</t>
  </si>
  <si>
    <t>Genoa Part Furled (100%)</t>
  </si>
  <si>
    <t>Mfg. Stated Power Ratio</t>
  </si>
  <si>
    <t>Self-Tailing Winches</t>
  </si>
  <si>
    <t xml:space="preserve">  (Brion Toss recommends 35# as desired max handle load)</t>
  </si>
  <si>
    <t>Loads less than Max Handle Load (I.e. allowable loads) are indicated by bold numbers in following pages, e.g:</t>
  </si>
  <si>
    <t>Max Handle Load (lb.) =</t>
  </si>
  <si>
    <t>Price</t>
  </si>
  <si>
    <t>List</t>
  </si>
  <si>
    <t>B42.2STC</t>
  </si>
  <si>
    <t>B44.2STC</t>
  </si>
  <si>
    <t>B46.2STC</t>
  </si>
  <si>
    <t>B48.2STC</t>
  </si>
  <si>
    <t>B53.2STC</t>
  </si>
  <si>
    <t>B56.2STC</t>
  </si>
  <si>
    <t>B56.3STC</t>
  </si>
  <si>
    <t>B64.2STC</t>
  </si>
  <si>
    <t>B64.3STC</t>
  </si>
  <si>
    <t>B66.2STC</t>
  </si>
  <si>
    <t>B66.3STC</t>
  </si>
  <si>
    <t>B74.2STC</t>
  </si>
  <si>
    <t>B74.3STC</t>
  </si>
  <si>
    <t>B16STC</t>
  </si>
  <si>
    <t>Quantity</t>
  </si>
  <si>
    <t>Anderson</t>
  </si>
  <si>
    <t>Harken</t>
  </si>
  <si>
    <t>Lewmar</t>
  </si>
  <si>
    <t>List Price</t>
  </si>
  <si>
    <t>Winch</t>
  </si>
  <si>
    <t>Disc. Price</t>
  </si>
  <si>
    <t>Special Price</t>
  </si>
  <si>
    <t xml:space="preserve">   Special Details: Sep-Oct 15% of MSRP Rebate:</t>
  </si>
  <si>
    <t xml:space="preserve"> </t>
  </si>
  <si>
    <t>Discount</t>
  </si>
  <si>
    <t>Calculated Genoa Sheet Loadings</t>
  </si>
  <si>
    <t>Area as % of Main</t>
  </si>
  <si>
    <t>Mainsail Dimensions</t>
  </si>
  <si>
    <t>Main Sheet Load (lbs) = E**2 * P**2 * 0.00431 * V**2 /(sqrt(P**2 + E**2) * (E - X))</t>
  </si>
  <si>
    <r>
      <t>Genoa Sheet Load (lbs.) = SA * V**2 * 0.00431</t>
    </r>
    <r>
      <rPr>
        <sz val="10"/>
        <rFont val="Times New Roman"/>
        <family val="1"/>
      </rPr>
      <t xml:space="preserve"> </t>
    </r>
  </si>
  <si>
    <t>Formula Source: Harken (http://www.harken.com/blocks/loads.pdf)</t>
  </si>
  <si>
    <t>Mainsail</t>
  </si>
  <si>
    <t>Storm Trysail / Third Reef</t>
  </si>
  <si>
    <t>FIRST WINCH SPEED</t>
  </si>
  <si>
    <t>SECOND WINCH SPEED</t>
  </si>
  <si>
    <t>3-Speed Harken Winch Handle Load (lbs.) for Apparent Wind (Knots) - Highest Speed</t>
  </si>
  <si>
    <t>HIGH SPEED for HARKEN 3-SPEED WINCHES</t>
  </si>
  <si>
    <t>This formula is not so well accepted as the Genoa Sheet Loadings</t>
  </si>
  <si>
    <t>MSRP (each)</t>
  </si>
  <si>
    <t>Extended Price (each)</t>
  </si>
  <si>
    <t>Total MSRP</t>
  </si>
  <si>
    <t>Total Discounted Price</t>
  </si>
  <si>
    <t>COMPARATIVE PRICE ANALYSIS</t>
  </si>
  <si>
    <t>Friction Losses (in %)</t>
  </si>
  <si>
    <t xml:space="preserve">  (Some estimates are as high as 35%, depends on # of wraps, load, and internal construction of the winch)</t>
  </si>
  <si>
    <r>
      <t>P</t>
    </r>
    <r>
      <rPr>
        <sz val="10"/>
        <rFont val="Arial"/>
        <family val="0"/>
      </rPr>
      <t>. Foot length of Main in feet</t>
    </r>
  </si>
  <si>
    <r>
      <t>E.</t>
    </r>
    <r>
      <rPr>
        <sz val="10"/>
        <rFont val="Arial"/>
        <family val="0"/>
      </rPr>
      <t xml:space="preserve"> Luff Length of Main in feet</t>
    </r>
  </si>
  <si>
    <r>
      <t>X.</t>
    </r>
    <r>
      <rPr>
        <sz val="10"/>
        <rFont val="Arial"/>
        <family val="0"/>
      </rPr>
      <t xml:space="preserve"> Distance from Aft end of boom to mainsheet attachment point in feet</t>
    </r>
  </si>
  <si>
    <r>
      <t>Mainsail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Reef</t>
    </r>
  </si>
  <si>
    <r>
      <t>Mainsail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Reef</t>
    </r>
  </si>
  <si>
    <t>Promo Discount until 3 May 2003</t>
  </si>
  <si>
    <t>Special Promo Discount (until Mar 30, 2003):</t>
  </si>
  <si>
    <r>
      <t>Power Ratio =</t>
    </r>
    <r>
      <rPr>
        <b/>
        <sz val="10"/>
        <rFont val="Arial"/>
        <family val="2"/>
      </rPr>
      <t xml:space="preserve"> 2 * length of handle * gear ratio / diameter of drum</t>
    </r>
    <r>
      <rPr>
        <sz val="10"/>
        <rFont val="Arial"/>
        <family val="0"/>
      </rPr>
      <t>.  
This formula is the theoretical maximum and is subject to friction losses.</t>
    </r>
  </si>
  <si>
    <t>Greyed out boxes are outside the normal wind range of the subject sail, e.g. ……………………………………….</t>
  </si>
  <si>
    <t>Spreadsheet written by Jeff Stander, KP44 Beatrix.</t>
  </si>
  <si>
    <t>Control Line Loadings</t>
  </si>
  <si>
    <t>Control &amp; Trim Lines</t>
  </si>
  <si>
    <t>% of Main-sheet loads</t>
  </si>
  <si>
    <t>First Reef</t>
  </si>
  <si>
    <t>No Reef</t>
  </si>
  <si>
    <t>Second Reef</t>
  </si>
  <si>
    <t>Trysail</t>
  </si>
  <si>
    <t>Based on Main Sheet Loadings:</t>
  </si>
  <si>
    <t>Outhaul/Cunningham</t>
  </si>
  <si>
    <r>
      <t xml:space="preserve">R: </t>
    </r>
    <r>
      <rPr>
        <sz val="10"/>
        <rFont val="Arial"/>
        <family val="2"/>
      </rPr>
      <t>Traveller Block Ratio</t>
    </r>
  </si>
  <si>
    <t>1:1</t>
  </si>
  <si>
    <t>2:1</t>
  </si>
  <si>
    <t>3:1</t>
  </si>
  <si>
    <t>4:1</t>
  </si>
  <si>
    <t>5:1</t>
  </si>
  <si>
    <t>6:1</t>
  </si>
  <si>
    <t>7:1</t>
  </si>
  <si>
    <t>8:1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</si>
</sst>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???_);_(@_)"/>
    <numFmt numFmtId="170" formatCode="00000"/>
    <numFmt numFmtId="171" formatCode="#\ ??/16"/>
    <numFmt numFmtId="172" formatCode="#\ ?/4"/>
    <numFmt numFmtId="173" formatCode="#\ ?/8"/>
    <numFmt numFmtId="174" formatCode="_(&quot;$&quot;* #,##0.000_);_(&quot;$&quot;* \(#,##0.000\);_(&quot;$&quot;* &quot;-&quot;??_);_(@_)"/>
    <numFmt numFmtId="175" formatCode="_(* #,##0.0_);_(* \(#,##0.0\);_(* &quot;-&quot;?_);_(@_)"/>
    <numFmt numFmtId="176" formatCode="0.0"/>
    <numFmt numFmtId="177" formatCode="#\ ?/2"/>
    <numFmt numFmtId="178" formatCode="_(* #,##0.000_);_(* \(#,##0.000\);_(* &quot;-&quot;??_);_(@_)"/>
    <numFmt numFmtId="179" formatCode="0.000"/>
    <numFmt numFmtId="180" formatCode="[$€-2]\ #,##0.00_);[Red]\([$€-2]\ #,##0.00\)"/>
  </numFmts>
  <fonts count="18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3.5"/>
      <color indexed="9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9"/>
      <name val="Arial"/>
      <family val="2"/>
    </font>
    <font>
      <b/>
      <vertAlign val="superscript"/>
      <sz val="10"/>
      <name val="Arial"/>
      <family val="2"/>
    </font>
    <font>
      <b/>
      <sz val="10"/>
      <name val="Arial CE"/>
      <family val="2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 applyProtection="1">
      <alignment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168" fontId="3" fillId="0" borderId="7" xfId="15" applyNumberFormat="1" applyFont="1" applyFill="1" applyBorder="1" applyAlignment="1" applyProtection="1">
      <alignment/>
      <protection/>
    </xf>
    <xf numFmtId="168" fontId="3" fillId="0" borderId="8" xfId="15" applyNumberFormat="1" applyFont="1" applyFill="1" applyBorder="1" applyAlignment="1" applyProtection="1">
      <alignment/>
      <protection/>
    </xf>
    <xf numFmtId="168" fontId="0" fillId="0" borderId="0" xfId="15" applyNumberFormat="1" applyFont="1" applyFill="1" applyBorder="1" applyAlignment="1" applyProtection="1">
      <alignment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168" fontId="3" fillId="0" borderId="9" xfId="15" applyNumberFormat="1" applyFont="1" applyFill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7" fillId="3" borderId="3" xfId="0" applyNumberFormat="1" applyFont="1" applyFill="1" applyBorder="1" applyAlignment="1" applyProtection="1">
      <alignment horizontal="center" vertical="center" wrapText="1"/>
      <protection/>
    </xf>
    <xf numFmtId="167" fontId="7" fillId="3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2" borderId="7" xfId="0" applyFont="1" applyFill="1" applyBorder="1" applyAlignment="1">
      <alignment horizontal="center" wrapText="1"/>
    </xf>
    <xf numFmtId="176" fontId="3" fillId="2" borderId="7" xfId="0" applyNumberFormat="1" applyFont="1" applyFill="1" applyBorder="1" applyAlignment="1">
      <alignment horizontal="center" wrapText="1"/>
    </xf>
    <xf numFmtId="171" fontId="3" fillId="2" borderId="7" xfId="15" applyNumberFormat="1" applyFont="1" applyFill="1" applyBorder="1" applyAlignment="1">
      <alignment horizontal="left" wrapText="1"/>
    </xf>
    <xf numFmtId="176" fontId="3" fillId="2" borderId="10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 wrapText="1"/>
    </xf>
    <xf numFmtId="171" fontId="3" fillId="2" borderId="8" xfId="15" applyNumberFormat="1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176" fontId="3" fillId="2" borderId="9" xfId="0" applyNumberFormat="1" applyFont="1" applyFill="1" applyBorder="1" applyAlignment="1">
      <alignment horizontal="right" wrapText="1"/>
    </xf>
    <xf numFmtId="12" fontId="3" fillId="2" borderId="7" xfId="15" applyNumberFormat="1" applyFont="1" applyFill="1" applyBorder="1" applyAlignment="1">
      <alignment horizontal="right" wrapText="1"/>
    </xf>
    <xf numFmtId="171" fontId="3" fillId="2" borderId="7" xfId="15" applyNumberFormat="1" applyFont="1" applyFill="1" applyBorder="1" applyAlignment="1">
      <alignment horizontal="right" wrapText="1"/>
    </xf>
    <xf numFmtId="172" fontId="3" fillId="2" borderId="7" xfId="15" applyNumberFormat="1" applyFont="1" applyFill="1" applyBorder="1" applyAlignment="1">
      <alignment horizontal="right" wrapText="1"/>
    </xf>
    <xf numFmtId="173" fontId="3" fillId="2" borderId="7" xfId="15" applyNumberFormat="1" applyFont="1" applyFill="1" applyBorder="1" applyAlignment="1">
      <alignment horizontal="right" wrapText="1"/>
    </xf>
    <xf numFmtId="12" fontId="3" fillId="2" borderId="8" xfId="15" applyNumberFormat="1" applyFont="1" applyFill="1" applyBorder="1" applyAlignment="1">
      <alignment horizontal="right" wrapText="1"/>
    </xf>
    <xf numFmtId="171" fontId="3" fillId="2" borderId="8" xfId="15" applyNumberFormat="1" applyFont="1" applyFill="1" applyBorder="1" applyAlignment="1">
      <alignment horizontal="right" wrapText="1"/>
    </xf>
    <xf numFmtId="0" fontId="11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0" fillId="3" borderId="3" xfId="0" applyFont="1" applyFill="1" applyBorder="1" applyAlignment="1" applyProtection="1">
      <alignment/>
      <protection/>
    </xf>
    <xf numFmtId="168" fontId="0" fillId="3" borderId="12" xfId="15" applyNumberFormat="1" applyFill="1" applyBorder="1" applyAlignment="1" applyProtection="1">
      <alignment/>
      <protection/>
    </xf>
    <xf numFmtId="168" fontId="0" fillId="4" borderId="7" xfId="15" applyNumberFormat="1" applyFill="1" applyBorder="1" applyAlignment="1" applyProtection="1">
      <alignment/>
      <protection/>
    </xf>
    <xf numFmtId="168" fontId="0" fillId="4" borderId="10" xfId="15" applyNumberFormat="1" applyFill="1" applyBorder="1" applyAlignment="1" applyProtection="1">
      <alignment/>
      <protection/>
    </xf>
    <xf numFmtId="168" fontId="0" fillId="3" borderId="13" xfId="15" applyNumberFormat="1" applyFill="1" applyBorder="1" applyAlignment="1" applyProtection="1">
      <alignment/>
      <protection/>
    </xf>
    <xf numFmtId="167" fontId="0" fillId="4" borderId="2" xfId="15" applyNumberFormat="1" applyFill="1" applyBorder="1" applyAlignment="1" applyProtection="1">
      <alignment/>
      <protection/>
    </xf>
    <xf numFmtId="167" fontId="0" fillId="4" borderId="14" xfId="15" applyNumberFormat="1" applyFill="1" applyBorder="1" applyAlignment="1" applyProtection="1">
      <alignment/>
      <protection/>
    </xf>
    <xf numFmtId="0" fontId="3" fillId="2" borderId="15" xfId="0" applyFont="1" applyFill="1" applyBorder="1" applyAlignment="1">
      <alignment wrapText="1"/>
    </xf>
    <xf numFmtId="167" fontId="0" fillId="5" borderId="3" xfId="15" applyNumberFormat="1" applyFill="1" applyBorder="1" applyAlignment="1" applyProtection="1">
      <alignment/>
      <protection/>
    </xf>
    <xf numFmtId="167" fontId="0" fillId="5" borderId="16" xfId="15" applyNumberForma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168" fontId="3" fillId="0" borderId="20" xfId="15" applyNumberFormat="1" applyFont="1" applyFill="1" applyBorder="1" applyAlignment="1" applyProtection="1">
      <alignment/>
      <protection/>
    </xf>
    <xf numFmtId="168" fontId="0" fillId="4" borderId="20" xfId="15" applyNumberFormat="1" applyFill="1" applyBorder="1" applyAlignment="1" applyProtection="1">
      <alignment/>
      <protection/>
    </xf>
    <xf numFmtId="168" fontId="0" fillId="4" borderId="21" xfId="15" applyNumberForma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0" fillId="3" borderId="0" xfId="0" applyFill="1" applyAlignment="1">
      <alignment/>
    </xf>
    <xf numFmtId="0" fontId="3" fillId="3" borderId="22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wrapText="1"/>
    </xf>
    <xf numFmtId="0" fontId="3" fillId="3" borderId="2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25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0" fillId="3" borderId="7" xfId="0" applyFill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/>
    </xf>
    <xf numFmtId="0" fontId="3" fillId="3" borderId="2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7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3" borderId="26" xfId="0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0" fontId="0" fillId="3" borderId="16" xfId="0" applyFont="1" applyFill="1" applyBorder="1" applyAlignment="1" applyProtection="1">
      <alignment/>
      <protection/>
    </xf>
    <xf numFmtId="0" fontId="0" fillId="3" borderId="27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0" fontId="7" fillId="3" borderId="28" xfId="0" applyFont="1" applyFill="1" applyBorder="1" applyAlignment="1" applyProtection="1">
      <alignment horizontal="center" vertical="center" wrapText="1"/>
      <protection/>
    </xf>
    <xf numFmtId="167" fontId="0" fillId="5" borderId="26" xfId="15" applyNumberFormat="1" applyFill="1" applyBorder="1" applyAlignment="1" applyProtection="1">
      <alignment/>
      <protection/>
    </xf>
    <xf numFmtId="167" fontId="0" fillId="5" borderId="4" xfId="15" applyNumberFormat="1" applyFill="1" applyBorder="1" applyAlignment="1" applyProtection="1">
      <alignment/>
      <protection/>
    </xf>
    <xf numFmtId="167" fontId="0" fillId="5" borderId="27" xfId="15" applyNumberFormat="1" applyFill="1" applyBorder="1" applyAlignment="1" applyProtection="1">
      <alignment/>
      <protection/>
    </xf>
    <xf numFmtId="167" fontId="0" fillId="5" borderId="13" xfId="15" applyNumberFormat="1" applyFill="1" applyBorder="1" applyAlignment="1" applyProtection="1">
      <alignment/>
      <protection/>
    </xf>
    <xf numFmtId="168" fontId="3" fillId="0" borderId="29" xfId="15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171" fontId="3" fillId="2" borderId="1" xfId="0" applyNumberFormat="1" applyFont="1" applyFill="1" applyBorder="1" applyAlignment="1">
      <alignment horizontal="right" wrapText="1"/>
    </xf>
    <xf numFmtId="171" fontId="3" fillId="2" borderId="1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168" fontId="0" fillId="0" borderId="20" xfId="15" applyNumberFormat="1" applyFill="1" applyBorder="1" applyAlignment="1" applyProtection="1">
      <alignment/>
      <protection/>
    </xf>
    <xf numFmtId="168" fontId="0" fillId="0" borderId="21" xfId="15" applyNumberForma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3" fillId="2" borderId="7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172" fontId="3" fillId="2" borderId="1" xfId="0" applyNumberFormat="1" applyFont="1" applyFill="1" applyBorder="1" applyAlignment="1">
      <alignment horizontal="right" wrapText="1"/>
    </xf>
    <xf numFmtId="173" fontId="3" fillId="2" borderId="1" xfId="0" applyNumberFormat="1" applyFont="1" applyFill="1" applyBorder="1" applyAlignment="1">
      <alignment horizontal="right" wrapText="1"/>
    </xf>
    <xf numFmtId="167" fontId="0" fillId="0" borderId="14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30" xfId="15" applyNumberFormat="1" applyBorder="1" applyAlignment="1">
      <alignment/>
    </xf>
    <xf numFmtId="167" fontId="0" fillId="0" borderId="31" xfId="15" applyNumberFormat="1" applyBorder="1" applyAlignment="1">
      <alignment/>
    </xf>
    <xf numFmtId="0" fontId="3" fillId="3" borderId="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3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168" fontId="3" fillId="0" borderId="30" xfId="15" applyNumberFormat="1" applyFont="1" applyBorder="1" applyAlignment="1" applyProtection="1">
      <alignment vertical="center"/>
      <protection/>
    </xf>
    <xf numFmtId="168" fontId="3" fillId="0" borderId="38" xfId="15" applyNumberFormat="1" applyFont="1" applyFill="1" applyBorder="1" applyAlignment="1" applyProtection="1">
      <alignment vertical="center"/>
      <protection/>
    </xf>
    <xf numFmtId="168" fontId="3" fillId="0" borderId="38" xfId="15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8" fontId="3" fillId="0" borderId="7" xfId="15" applyNumberFormat="1" applyFont="1" applyFill="1" applyBorder="1" applyAlignment="1" applyProtection="1">
      <alignment vertical="center"/>
      <protection/>
    </xf>
    <xf numFmtId="168" fontId="3" fillId="0" borderId="7" xfId="15" applyNumberFormat="1" applyFont="1" applyBorder="1" applyAlignment="1" applyProtection="1">
      <alignment vertical="center"/>
      <protection/>
    </xf>
    <xf numFmtId="168" fontId="3" fillId="0" borderId="8" xfId="15" applyNumberFormat="1" applyFont="1" applyFill="1" applyBorder="1" applyAlignment="1" applyProtection="1">
      <alignment vertical="center"/>
      <protection/>
    </xf>
    <xf numFmtId="177" fontId="3" fillId="2" borderId="39" xfId="0" applyNumberFormat="1" applyFont="1" applyFill="1" applyBorder="1" applyAlignment="1">
      <alignment horizontal="right" wrapText="1"/>
    </xf>
    <xf numFmtId="171" fontId="3" fillId="2" borderId="39" xfId="0" applyNumberFormat="1" applyFont="1" applyFill="1" applyBorder="1" applyAlignment="1">
      <alignment horizontal="right" wrapText="1"/>
    </xf>
    <xf numFmtId="173" fontId="3" fillId="2" borderId="39" xfId="0" applyNumberFormat="1" applyFont="1" applyFill="1" applyBorder="1" applyAlignment="1">
      <alignment horizontal="right" wrapText="1"/>
    </xf>
    <xf numFmtId="172" fontId="3" fillId="2" borderId="39" xfId="0" applyNumberFormat="1" applyFont="1" applyFill="1" applyBorder="1" applyAlignment="1">
      <alignment horizontal="right" wrapText="1"/>
    </xf>
    <xf numFmtId="0" fontId="3" fillId="3" borderId="29" xfId="0" applyFont="1" applyFill="1" applyBorder="1" applyAlignment="1" applyProtection="1">
      <alignment/>
      <protection/>
    </xf>
    <xf numFmtId="43" fontId="0" fillId="0" borderId="20" xfId="0" applyNumberFormat="1" applyBorder="1" applyAlignment="1" applyProtection="1">
      <alignment/>
      <protection/>
    </xf>
    <xf numFmtId="43" fontId="0" fillId="2" borderId="20" xfId="0" applyNumberFormat="1" applyFill="1" applyBorder="1" applyAlignment="1" applyProtection="1">
      <alignment/>
      <protection/>
    </xf>
    <xf numFmtId="167" fontId="0" fillId="0" borderId="20" xfId="15" applyNumberFormat="1" applyBorder="1" applyAlignment="1" applyProtection="1">
      <alignment/>
      <protection/>
    </xf>
    <xf numFmtId="167" fontId="0" fillId="2" borderId="20" xfId="15" applyNumberFormat="1" applyFill="1" applyBorder="1" applyAlignment="1" applyProtection="1">
      <alignment/>
      <protection/>
    </xf>
    <xf numFmtId="171" fontId="0" fillId="0" borderId="20" xfId="0" applyNumberFormat="1" applyBorder="1" applyAlignment="1" applyProtection="1">
      <alignment/>
      <protection/>
    </xf>
    <xf numFmtId="171" fontId="0" fillId="0" borderId="21" xfId="0" applyNumberFormat="1" applyBorder="1" applyAlignment="1" applyProtection="1">
      <alignment/>
      <protection/>
    </xf>
    <xf numFmtId="0" fontId="3" fillId="3" borderId="14" xfId="0" applyFont="1" applyFill="1" applyBorder="1" applyAlignment="1" applyProtection="1">
      <alignment/>
      <protection/>
    </xf>
    <xf numFmtId="43" fontId="0" fillId="0" borderId="7" xfId="0" applyNumberFormat="1" applyBorder="1" applyAlignment="1" applyProtection="1">
      <alignment/>
      <protection/>
    </xf>
    <xf numFmtId="43" fontId="0" fillId="2" borderId="7" xfId="0" applyNumberFormat="1" applyFill="1" applyBorder="1" applyAlignment="1" applyProtection="1">
      <alignment/>
      <protection/>
    </xf>
    <xf numFmtId="167" fontId="0" fillId="0" borderId="7" xfId="15" applyNumberFormat="1" applyBorder="1" applyAlignment="1" applyProtection="1">
      <alignment/>
      <protection/>
    </xf>
    <xf numFmtId="167" fontId="0" fillId="2" borderId="7" xfId="15" applyNumberFormat="1" applyFill="1" applyBorder="1" applyAlignment="1" applyProtection="1">
      <alignment/>
      <protection/>
    </xf>
    <xf numFmtId="171" fontId="0" fillId="0" borderId="7" xfId="0" applyNumberFormat="1" applyBorder="1" applyAlignment="1" applyProtection="1">
      <alignment/>
      <protection/>
    </xf>
    <xf numFmtId="171" fontId="0" fillId="0" borderId="10" xfId="0" applyNumberFormat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43" fontId="0" fillId="0" borderId="8" xfId="0" applyNumberFormat="1" applyBorder="1" applyAlignment="1" applyProtection="1">
      <alignment/>
      <protection/>
    </xf>
    <xf numFmtId="43" fontId="0" fillId="2" borderId="8" xfId="0" applyNumberFormat="1" applyFill="1" applyBorder="1" applyAlignment="1" applyProtection="1">
      <alignment/>
      <protection/>
    </xf>
    <xf numFmtId="167" fontId="0" fillId="0" borderId="8" xfId="15" applyNumberFormat="1" applyBorder="1" applyAlignment="1" applyProtection="1">
      <alignment/>
      <protection/>
    </xf>
    <xf numFmtId="167" fontId="0" fillId="2" borderId="8" xfId="15" applyNumberFormat="1" applyFont="1" applyFill="1" applyBorder="1" applyAlignment="1" applyProtection="1">
      <alignment/>
      <protection/>
    </xf>
    <xf numFmtId="171" fontId="0" fillId="0" borderId="8" xfId="0" applyNumberFormat="1" applyBorder="1" applyAlignment="1" applyProtection="1">
      <alignment/>
      <protection/>
    </xf>
    <xf numFmtId="171" fontId="0" fillId="0" borderId="9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3" borderId="35" xfId="0" applyFont="1" applyFill="1" applyBorder="1" applyAlignment="1" applyProtection="1">
      <alignment horizontal="center" vertical="center" wrapText="1"/>
      <protection/>
    </xf>
    <xf numFmtId="0" fontId="3" fillId="3" borderId="36" xfId="0" applyFont="1" applyFill="1" applyBorder="1" applyAlignment="1" applyProtection="1">
      <alignment horizontal="center" vertical="center" wrapText="1"/>
      <protection/>
    </xf>
    <xf numFmtId="0" fontId="3" fillId="3" borderId="37" xfId="0" applyFont="1" applyFill="1" applyBorder="1" applyAlignment="1" applyProtection="1">
      <alignment horizontal="center" vertical="center" wrapText="1"/>
      <protection/>
    </xf>
    <xf numFmtId="168" fontId="0" fillId="0" borderId="0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8" fontId="0" fillId="0" borderId="0" xfId="15" applyNumberFormat="1" applyFill="1" applyBorder="1" applyAlignment="1" applyProtection="1">
      <alignment/>
      <protection/>
    </xf>
    <xf numFmtId="44" fontId="0" fillId="0" borderId="0" xfId="17" applyAlignment="1">
      <alignment/>
    </xf>
    <xf numFmtId="0" fontId="0" fillId="0" borderId="0" xfId="0" applyFill="1" applyAlignment="1">
      <alignment horizontal="center"/>
    </xf>
    <xf numFmtId="44" fontId="3" fillId="0" borderId="32" xfId="0" applyNumberFormat="1" applyFont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/>
      <protection/>
    </xf>
    <xf numFmtId="168" fontId="3" fillId="0" borderId="29" xfId="15" applyNumberFormat="1" applyFont="1" applyBorder="1" applyAlignment="1" applyProtection="1">
      <alignment vertical="center"/>
      <protection/>
    </xf>
    <xf numFmtId="168" fontId="3" fillId="0" borderId="20" xfId="15" applyNumberFormat="1" applyFont="1" applyBorder="1" applyAlignment="1" applyProtection="1">
      <alignment vertical="center"/>
      <protection/>
    </xf>
    <xf numFmtId="176" fontId="0" fillId="0" borderId="7" xfId="0" applyNumberFormat="1" applyBorder="1" applyAlignment="1" applyProtection="1">
      <alignment horizontal="right"/>
      <protection/>
    </xf>
    <xf numFmtId="176" fontId="0" fillId="0" borderId="7" xfId="0" applyNumberFormat="1" applyBorder="1" applyAlignment="1" applyProtection="1">
      <alignment/>
      <protection/>
    </xf>
    <xf numFmtId="168" fontId="3" fillId="0" borderId="2" xfId="15" applyNumberFormat="1" applyFont="1" applyBorder="1" applyAlignment="1" applyProtection="1">
      <alignment vertical="center"/>
      <protection/>
    </xf>
    <xf numFmtId="168" fontId="3" fillId="0" borderId="0" xfId="15" applyNumberFormat="1" applyFont="1" applyFill="1" applyBorder="1" applyAlignment="1" applyProtection="1">
      <alignment/>
      <protection/>
    </xf>
    <xf numFmtId="167" fontId="0" fillId="0" borderId="0" xfId="15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6" borderId="40" xfId="0" applyFont="1" applyFill="1" applyBorder="1" applyAlignment="1" applyProtection="1">
      <alignment horizontal="center"/>
      <protection/>
    </xf>
    <xf numFmtId="0" fontId="14" fillId="6" borderId="41" xfId="0" applyFont="1" applyFill="1" applyBorder="1" applyAlignment="1" applyProtection="1">
      <alignment horizontal="center"/>
      <protection/>
    </xf>
    <xf numFmtId="9" fontId="0" fillId="2" borderId="7" xfId="0" applyNumberFormat="1" applyFill="1" applyBorder="1" applyAlignment="1" applyProtection="1">
      <alignment/>
      <protection/>
    </xf>
    <xf numFmtId="168" fontId="3" fillId="7" borderId="7" xfId="15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7" xfId="0" applyBorder="1" applyAlignment="1">
      <alignment/>
    </xf>
    <xf numFmtId="44" fontId="0" fillId="0" borderId="7" xfId="17" applyBorder="1" applyAlignment="1">
      <alignment/>
    </xf>
    <xf numFmtId="44" fontId="0" fillId="0" borderId="7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8" xfId="0" applyBorder="1" applyAlignment="1">
      <alignment/>
    </xf>
    <xf numFmtId="44" fontId="0" fillId="0" borderId="8" xfId="17" applyBorder="1" applyAlignment="1">
      <alignment/>
    </xf>
    <xf numFmtId="44" fontId="0" fillId="0" borderId="8" xfId="0" applyNumberFormat="1" applyBorder="1" applyAlignment="1">
      <alignment/>
    </xf>
    <xf numFmtId="44" fontId="0" fillId="0" borderId="9" xfId="0" applyNumberFormat="1" applyBorder="1" applyAlignment="1">
      <alignment/>
    </xf>
    <xf numFmtId="9" fontId="3" fillId="8" borderId="21" xfId="0" applyNumberFormat="1" applyFont="1" applyFill="1" applyBorder="1" applyAlignment="1" applyProtection="1">
      <alignment/>
      <protection locked="0"/>
    </xf>
    <xf numFmtId="44" fontId="3" fillId="8" borderId="10" xfId="0" applyNumberFormat="1" applyFont="1" applyFill="1" applyBorder="1" applyAlignment="1">
      <alignment/>
    </xf>
    <xf numFmtId="44" fontId="3" fillId="8" borderId="9" xfId="0" applyNumberFormat="1" applyFont="1" applyFill="1" applyBorder="1" applyAlignment="1">
      <alignment/>
    </xf>
    <xf numFmtId="0" fontId="3" fillId="8" borderId="42" xfId="0" applyFont="1" applyFill="1" applyBorder="1" applyAlignment="1">
      <alignment/>
    </xf>
    <xf numFmtId="0" fontId="3" fillId="8" borderId="43" xfId="0" applyFont="1" applyFill="1" applyBorder="1" applyAlignment="1" applyProtection="1">
      <alignment/>
      <protection/>
    </xf>
    <xf numFmtId="0" fontId="3" fillId="8" borderId="5" xfId="0" applyFont="1" applyFill="1" applyBorder="1" applyAlignment="1">
      <alignment/>
    </xf>
    <xf numFmtId="0" fontId="0" fillId="0" borderId="43" xfId="0" applyBorder="1" applyAlignment="1">
      <alignment horizontal="center"/>
    </xf>
    <xf numFmtId="168" fontId="0" fillId="3" borderId="26" xfId="15" applyNumberFormat="1" applyFont="1" applyFill="1" applyBorder="1" applyAlignment="1" applyProtection="1">
      <alignment/>
      <protection/>
    </xf>
    <xf numFmtId="168" fontId="0" fillId="3" borderId="4" xfId="15" applyNumberFormat="1" applyFont="1" applyFill="1" applyBorder="1" applyAlignment="1" applyProtection="1">
      <alignment/>
      <protection/>
    </xf>
    <xf numFmtId="0" fontId="0" fillId="0" borderId="5" xfId="0" applyBorder="1" applyAlignment="1">
      <alignment horizontal="center"/>
    </xf>
    <xf numFmtId="168" fontId="0" fillId="3" borderId="33" xfId="15" applyNumberFormat="1" applyFont="1" applyFill="1" applyBorder="1" applyAlignment="1" applyProtection="1">
      <alignment/>
      <protection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/>
    </xf>
    <xf numFmtId="44" fontId="0" fillId="0" borderId="38" xfId="17" applyBorder="1" applyAlignment="1">
      <alignment/>
    </xf>
    <xf numFmtId="44" fontId="0" fillId="0" borderId="38" xfId="0" applyNumberFormat="1" applyBorder="1" applyAlignment="1">
      <alignment/>
    </xf>
    <xf numFmtId="44" fontId="0" fillId="0" borderId="31" xfId="0" applyNumberFormat="1" applyBorder="1" applyAlignment="1">
      <alignment/>
    </xf>
    <xf numFmtId="0" fontId="2" fillId="3" borderId="32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44" fontId="2" fillId="3" borderId="46" xfId="17" applyFont="1" applyFill="1" applyBorder="1" applyAlignment="1" applyProtection="1">
      <alignment horizontal="center" vertical="center" wrapText="1"/>
      <protection/>
    </xf>
    <xf numFmtId="0" fontId="11" fillId="3" borderId="47" xfId="0" applyFont="1" applyFill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wrapText="1"/>
      <protection/>
    </xf>
    <xf numFmtId="9" fontId="3" fillId="9" borderId="27" xfId="21" applyFont="1" applyFill="1" applyBorder="1" applyAlignment="1" applyProtection="1">
      <alignment vertical="center"/>
      <protection/>
    </xf>
    <xf numFmtId="9" fontId="3" fillId="9" borderId="27" xfId="21" applyFont="1" applyFill="1" applyBorder="1" applyAlignment="1" applyProtection="1">
      <alignment vertical="center"/>
      <protection locked="0"/>
    </xf>
    <xf numFmtId="9" fontId="3" fillId="9" borderId="13" xfId="21" applyFont="1" applyFill="1" applyBorder="1" applyAlignment="1" applyProtection="1">
      <alignment vertical="center"/>
      <protection locked="0"/>
    </xf>
    <xf numFmtId="168" fontId="3" fillId="9" borderId="27" xfId="15" applyNumberFormat="1" applyFont="1" applyFill="1" applyBorder="1" applyAlignment="1" applyProtection="1">
      <alignment vertical="center"/>
      <protection locked="0"/>
    </xf>
    <xf numFmtId="168" fontId="3" fillId="9" borderId="13" xfId="15" applyNumberFormat="1" applyFont="1" applyFill="1" applyBorder="1" applyAlignment="1" applyProtection="1">
      <alignment vertical="center"/>
      <protection locked="0"/>
    </xf>
    <xf numFmtId="168" fontId="3" fillId="9" borderId="12" xfId="15" applyNumberFormat="1" applyFont="1" applyFill="1" applyBorder="1" applyAlignment="1" applyProtection="1">
      <alignment vertical="center"/>
      <protection locked="0"/>
    </xf>
    <xf numFmtId="168" fontId="3" fillId="9" borderId="33" xfId="15" applyNumberFormat="1" applyFont="1" applyFill="1" applyBorder="1" applyAlignment="1" applyProtection="1">
      <alignment vertical="center"/>
      <protection locked="0"/>
    </xf>
    <xf numFmtId="168" fontId="3" fillId="9" borderId="26" xfId="15" applyNumberFormat="1" applyFont="1" applyFill="1" applyBorder="1" applyAlignment="1" applyProtection="1">
      <alignment vertical="center"/>
      <protection locked="0"/>
    </xf>
    <xf numFmtId="168" fontId="3" fillId="9" borderId="4" xfId="15" applyNumberFormat="1" applyFont="1" applyFill="1" applyBorder="1" applyAlignment="1" applyProtection="1">
      <alignment vertical="center"/>
      <protection locked="0"/>
    </xf>
    <xf numFmtId="176" fontId="3" fillId="9" borderId="7" xfId="0" applyNumberFormat="1" applyFont="1" applyFill="1" applyBorder="1" applyAlignment="1" applyProtection="1">
      <alignment horizontal="right"/>
      <protection locked="0"/>
    </xf>
    <xf numFmtId="176" fontId="3" fillId="9" borderId="7" xfId="0" applyNumberFormat="1" applyFont="1" applyFill="1" applyBorder="1" applyAlignment="1" applyProtection="1">
      <alignment/>
      <protection locked="0"/>
    </xf>
    <xf numFmtId="167" fontId="3" fillId="0" borderId="29" xfId="15" applyNumberFormat="1" applyFont="1" applyFill="1" applyBorder="1" applyAlignment="1" applyProtection="1">
      <alignment/>
      <protection/>
    </xf>
    <xf numFmtId="167" fontId="3" fillId="0" borderId="14" xfId="15" applyNumberFormat="1" applyFont="1" applyFill="1" applyBorder="1" applyAlignment="1" applyProtection="1">
      <alignment horizontal="left"/>
      <protection/>
    </xf>
    <xf numFmtId="44" fontId="3" fillId="0" borderId="0" xfId="17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9" fontId="3" fillId="0" borderId="0" xfId="21" applyFont="1" applyAlignment="1" applyProtection="1">
      <alignment horizontal="left"/>
      <protection locked="0"/>
    </xf>
    <xf numFmtId="168" fontId="16" fillId="0" borderId="7" xfId="15" applyNumberFormat="1" applyFont="1" applyFill="1" applyBorder="1" applyAlignment="1" applyProtection="1">
      <alignment/>
      <protection/>
    </xf>
    <xf numFmtId="168" fontId="0" fillId="4" borderId="43" xfId="15" applyNumberFormat="1" applyFill="1" applyBorder="1" applyAlignment="1" applyProtection="1">
      <alignment/>
      <protection/>
    </xf>
    <xf numFmtId="173" fontId="3" fillId="2" borderId="1" xfId="0" applyNumberFormat="1" applyFont="1" applyFill="1" applyBorder="1" applyAlignment="1">
      <alignment horizontal="left" wrapText="1"/>
    </xf>
    <xf numFmtId="172" fontId="3" fillId="2" borderId="1" xfId="0" applyNumberFormat="1" applyFont="1" applyFill="1" applyBorder="1" applyAlignment="1">
      <alignment horizontal="left" wrapText="1"/>
    </xf>
    <xf numFmtId="168" fontId="0" fillId="3" borderId="13" xfId="15" applyNumberFormat="1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/>
    </xf>
    <xf numFmtId="44" fontId="0" fillId="0" borderId="20" xfId="17" applyBorder="1" applyAlignment="1">
      <alignment/>
    </xf>
    <xf numFmtId="44" fontId="0" fillId="0" borderId="20" xfId="0" applyNumberFormat="1" applyBorder="1" applyAlignment="1">
      <alignment/>
    </xf>
    <xf numFmtId="44" fontId="0" fillId="0" borderId="2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48" xfId="0" applyNumberFormat="1" applyBorder="1" applyAlignment="1">
      <alignment/>
    </xf>
    <xf numFmtId="177" fontId="3" fillId="2" borderId="1" xfId="0" applyNumberFormat="1" applyFont="1" applyFill="1" applyBorder="1" applyAlignment="1">
      <alignment horizontal="left" wrapText="1"/>
    </xf>
    <xf numFmtId="168" fontId="3" fillId="9" borderId="49" xfId="15" applyNumberFormat="1" applyFont="1" applyFill="1" applyBorder="1" applyAlignment="1" applyProtection="1">
      <alignment vertical="center"/>
      <protection locked="0"/>
    </xf>
    <xf numFmtId="9" fontId="3" fillId="9" borderId="32" xfId="21" applyFont="1" applyFill="1" applyBorder="1" applyAlignment="1" applyProtection="1">
      <alignment vertical="center"/>
      <protection/>
    </xf>
    <xf numFmtId="0" fontId="0" fillId="0" borderId="49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68" fontId="3" fillId="3" borderId="49" xfId="15" applyNumberFormat="1" applyFont="1" applyFill="1" applyBorder="1" applyAlignment="1" applyProtection="1">
      <alignment horizontal="center" vertical="center" wrapText="1"/>
      <protection/>
    </xf>
    <xf numFmtId="168" fontId="3" fillId="3" borderId="40" xfId="15" applyNumberFormat="1" applyFont="1" applyFill="1" applyBorder="1" applyAlignment="1" applyProtection="1">
      <alignment horizontal="center" vertical="center" wrapText="1"/>
      <protection/>
    </xf>
    <xf numFmtId="168" fontId="3" fillId="3" borderId="41" xfId="15" applyNumberFormat="1" applyFont="1" applyFill="1" applyBorder="1" applyAlignment="1" applyProtection="1">
      <alignment horizontal="center" vertical="center" wrapText="1"/>
      <protection/>
    </xf>
    <xf numFmtId="168" fontId="0" fillId="0" borderId="49" xfId="15" applyNumberFormat="1" applyFont="1" applyFill="1" applyBorder="1" applyAlignment="1" applyProtection="1">
      <alignment horizontal="center" vertical="center"/>
      <protection/>
    </xf>
    <xf numFmtId="168" fontId="0" fillId="0" borderId="40" xfId="15" applyNumberFormat="1" applyFont="1" applyFill="1" applyBorder="1" applyAlignment="1" applyProtection="1">
      <alignment horizontal="center" vertical="center"/>
      <protection/>
    </xf>
    <xf numFmtId="168" fontId="0" fillId="0" borderId="41" xfId="15" applyNumberFormat="1" applyFont="1" applyFill="1" applyBorder="1" applyAlignment="1" applyProtection="1">
      <alignment horizontal="center" vertical="center"/>
      <protection/>
    </xf>
    <xf numFmtId="168" fontId="0" fillId="4" borderId="7" xfId="15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3" borderId="50" xfId="0" applyFont="1" applyFill="1" applyBorder="1" applyAlignment="1" applyProtection="1">
      <alignment horizontal="center" vertical="center" wrapText="1"/>
      <protection/>
    </xf>
    <xf numFmtId="0" fontId="2" fillId="3" borderId="51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/>
      <protection/>
    </xf>
    <xf numFmtId="168" fontId="0" fillId="2" borderId="14" xfId="15" applyNumberFormat="1" applyFill="1" applyBorder="1" applyAlignment="1" applyProtection="1">
      <alignment vertical="center"/>
      <protection/>
    </xf>
    <xf numFmtId="168" fontId="0" fillId="2" borderId="7" xfId="15" applyNumberFormat="1" applyFill="1" applyBorder="1" applyAlignment="1" applyProtection="1">
      <alignment vertical="center"/>
      <protection/>
    </xf>
    <xf numFmtId="168" fontId="0" fillId="0" borderId="0" xfId="15" applyNumberFormat="1" applyFont="1" applyFill="1" applyBorder="1" applyAlignment="1" applyProtection="1">
      <alignment vertical="center"/>
      <protection locked="0"/>
    </xf>
    <xf numFmtId="168" fontId="5" fillId="0" borderId="0" xfId="20" applyNumberFormat="1" applyFill="1" applyBorder="1" applyAlignment="1" applyProtection="1">
      <alignment vertical="center"/>
      <protection locked="0"/>
    </xf>
    <xf numFmtId="168" fontId="0" fillId="2" borderId="8" xfId="15" applyNumberFormat="1" applyFill="1" applyBorder="1" applyAlignment="1" applyProtection="1">
      <alignment vertical="center"/>
      <protection/>
    </xf>
    <xf numFmtId="168" fontId="0" fillId="2" borderId="9" xfId="15" applyNumberFormat="1" applyFill="1" applyBorder="1" applyAlignment="1" applyProtection="1">
      <alignment vertical="center"/>
      <protection/>
    </xf>
    <xf numFmtId="168" fontId="0" fillId="2" borderId="38" xfId="15" applyNumberFormat="1" applyFont="1" applyFill="1" applyBorder="1" applyAlignment="1" applyProtection="1">
      <alignment vertical="center"/>
      <protection/>
    </xf>
    <xf numFmtId="168" fontId="0" fillId="2" borderId="38" xfId="15" applyNumberFormat="1" applyFill="1" applyBorder="1" applyAlignment="1" applyProtection="1">
      <alignment vertical="center"/>
      <protection/>
    </xf>
    <xf numFmtId="168" fontId="0" fillId="2" borderId="31" xfId="15" applyNumberFormat="1" applyFill="1" applyBorder="1" applyAlignment="1" applyProtection="1">
      <alignment vertical="center"/>
      <protection/>
    </xf>
    <xf numFmtId="168" fontId="0" fillId="2" borderId="10" xfId="15" applyNumberFormat="1" applyFill="1" applyBorder="1" applyAlignment="1" applyProtection="1">
      <alignment vertical="center"/>
      <protection/>
    </xf>
    <xf numFmtId="168" fontId="0" fillId="2" borderId="20" xfId="15" applyNumberFormat="1" applyFill="1" applyBorder="1" applyAlignment="1" applyProtection="1">
      <alignment vertical="center"/>
      <protection/>
    </xf>
    <xf numFmtId="168" fontId="0" fillId="2" borderId="21" xfId="15" applyNumberFormat="1" applyFill="1" applyBorder="1" applyAlignment="1" applyProtection="1">
      <alignment vertical="center"/>
      <protection/>
    </xf>
    <xf numFmtId="167" fontId="0" fillId="2" borderId="2" xfId="15" applyNumberFormat="1" applyFill="1" applyBorder="1" applyAlignment="1" applyProtection="1">
      <alignment/>
      <protection/>
    </xf>
    <xf numFmtId="167" fontId="0" fillId="2" borderId="8" xfId="15" applyNumberFormat="1" applyFill="1" applyBorder="1" applyAlignment="1" applyProtection="1">
      <alignment/>
      <protection/>
    </xf>
    <xf numFmtId="44" fontId="13" fillId="0" borderId="7" xfId="17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wrapText="1"/>
      <protection/>
    </xf>
    <xf numFmtId="0" fontId="3" fillId="3" borderId="22" xfId="0" applyFont="1" applyFill="1" applyBorder="1" applyAlignment="1" applyProtection="1">
      <alignment wrapText="1"/>
      <protection/>
    </xf>
    <xf numFmtId="0" fontId="3" fillId="3" borderId="15" xfId="0" applyFont="1" applyFill="1" applyBorder="1" applyAlignment="1" applyProtection="1">
      <alignment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3" fillId="3" borderId="7" xfId="0" applyFont="1" applyFill="1" applyBorder="1" applyAlignment="1" applyProtection="1">
      <alignment wrapText="1"/>
      <protection/>
    </xf>
    <xf numFmtId="176" fontId="3" fillId="2" borderId="7" xfId="0" applyNumberFormat="1" applyFont="1" applyFill="1" applyBorder="1" applyAlignment="1" applyProtection="1">
      <alignment horizontal="center" wrapText="1"/>
      <protection/>
    </xf>
    <xf numFmtId="0" fontId="3" fillId="2" borderId="7" xfId="0" applyFont="1" applyFill="1" applyBorder="1" applyAlignment="1" applyProtection="1">
      <alignment wrapText="1"/>
      <protection/>
    </xf>
    <xf numFmtId="0" fontId="3" fillId="2" borderId="7" xfId="0" applyFont="1" applyFill="1" applyBorder="1" applyAlignment="1" applyProtection="1">
      <alignment horizontal="center" wrapText="1"/>
      <protection/>
    </xf>
    <xf numFmtId="171" fontId="3" fillId="2" borderId="7" xfId="0" applyNumberFormat="1" applyFont="1" applyFill="1" applyBorder="1" applyAlignment="1" applyProtection="1">
      <alignment horizontal="left" wrapText="1"/>
      <protection/>
    </xf>
    <xf numFmtId="171" fontId="3" fillId="2" borderId="1" xfId="0" applyNumberFormat="1" applyFont="1" applyFill="1" applyBorder="1" applyAlignment="1" applyProtection="1">
      <alignment horizontal="left" wrapText="1"/>
      <protection/>
    </xf>
    <xf numFmtId="0" fontId="3" fillId="2" borderId="7" xfId="0" applyFont="1" applyFill="1" applyBorder="1" applyAlignment="1" applyProtection="1">
      <alignment horizontal="left" wrapText="1"/>
      <protection/>
    </xf>
    <xf numFmtId="0" fontId="3" fillId="3" borderId="52" xfId="0" applyFont="1" applyFill="1" applyBorder="1" applyAlignment="1" applyProtection="1">
      <alignment horizontal="center" vertical="center" wrapText="1"/>
      <protection/>
    </xf>
    <xf numFmtId="176" fontId="3" fillId="2" borderId="1" xfId="0" applyNumberFormat="1" applyFont="1" applyFill="1" applyBorder="1" applyAlignment="1" applyProtection="1">
      <alignment horizontal="center" wrapText="1"/>
      <protection/>
    </xf>
    <xf numFmtId="0" fontId="3" fillId="3" borderId="53" xfId="0" applyFont="1" applyFill="1" applyBorder="1" applyAlignment="1" applyProtection="1">
      <alignment wrapText="1"/>
      <protection locked="0"/>
    </xf>
    <xf numFmtId="0" fontId="3" fillId="3" borderId="54" xfId="0" applyFont="1" applyFill="1" applyBorder="1" applyAlignment="1" applyProtection="1">
      <alignment wrapText="1"/>
      <protection locked="0"/>
    </xf>
    <xf numFmtId="44" fontId="13" fillId="0" borderId="55" xfId="17" applyFont="1" applyBorder="1" applyAlignment="1" applyProtection="1">
      <alignment horizontal="center" vertical="top" wrapText="1"/>
      <protection locked="0"/>
    </xf>
    <xf numFmtId="44" fontId="0" fillId="0" borderId="7" xfId="17" applyBorder="1" applyAlignment="1" applyProtection="1">
      <alignment/>
      <protection locked="0"/>
    </xf>
    <xf numFmtId="0" fontId="4" fillId="0" borderId="0" xfId="0" applyFont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  <protection/>
    </xf>
    <xf numFmtId="0" fontId="4" fillId="3" borderId="40" xfId="0" applyFont="1" applyFill="1" applyBorder="1" applyAlignment="1" applyProtection="1">
      <alignment horizontal="center" vertical="center"/>
      <protection/>
    </xf>
    <xf numFmtId="0" fontId="4" fillId="3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3" fillId="3" borderId="16" xfId="0" applyFont="1" applyFill="1" applyBorder="1" applyAlignment="1">
      <alignment/>
    </xf>
    <xf numFmtId="0" fontId="3" fillId="3" borderId="51" xfId="0" applyFont="1" applyFill="1" applyBorder="1" applyAlignment="1">
      <alignment/>
    </xf>
    <xf numFmtId="0" fontId="0" fillId="0" borderId="4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14" fillId="6" borderId="49" xfId="0" applyFont="1" applyFill="1" applyBorder="1" applyAlignment="1" applyProtection="1">
      <alignment horizontal="center"/>
      <protection/>
    </xf>
    <xf numFmtId="0" fontId="14" fillId="6" borderId="40" xfId="0" applyFont="1" applyFill="1" applyBorder="1" applyAlignment="1" applyProtection="1">
      <alignment horizontal="center"/>
      <protection/>
    </xf>
    <xf numFmtId="0" fontId="14" fillId="6" borderId="41" xfId="0" applyFont="1" applyFill="1" applyBorder="1" applyAlignment="1" applyProtection="1">
      <alignment horizontal="center"/>
      <protection/>
    </xf>
    <xf numFmtId="0" fontId="2" fillId="3" borderId="56" xfId="0" applyFont="1" applyFill="1" applyBorder="1" applyAlignment="1" applyProtection="1">
      <alignment horizontal="center" vertical="center" wrapText="1"/>
      <protection/>
    </xf>
    <xf numFmtId="0" fontId="2" fillId="3" borderId="57" xfId="0" applyFont="1" applyFill="1" applyBorder="1" applyAlignment="1" applyProtection="1">
      <alignment horizontal="center" vertical="center" wrapText="1"/>
      <protection/>
    </xf>
    <xf numFmtId="0" fontId="3" fillId="3" borderId="56" xfId="0" applyFont="1" applyFill="1" applyBorder="1" applyAlignment="1" applyProtection="1">
      <alignment horizontal="center" vertical="center" wrapText="1"/>
      <protection/>
    </xf>
    <xf numFmtId="0" fontId="3" fillId="3" borderId="57" xfId="0" applyFont="1" applyFill="1" applyBorder="1" applyAlignment="1" applyProtection="1">
      <alignment horizontal="center" vertical="center" wrapText="1"/>
      <protection/>
    </xf>
    <xf numFmtId="0" fontId="2" fillId="3" borderId="58" xfId="0" applyFont="1" applyFill="1" applyBorder="1" applyAlignment="1" applyProtection="1">
      <alignment horizontal="center" vertical="center" wrapText="1"/>
      <protection/>
    </xf>
    <xf numFmtId="0" fontId="2" fillId="3" borderId="59" xfId="0" applyFont="1" applyFill="1" applyBorder="1" applyAlignment="1" applyProtection="1">
      <alignment horizontal="center" vertical="center" wrapText="1"/>
      <protection/>
    </xf>
    <xf numFmtId="0" fontId="2" fillId="3" borderId="60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3" fillId="3" borderId="34" xfId="0" applyFont="1" applyFill="1" applyBorder="1" applyAlignment="1" applyProtection="1">
      <alignment horizontal="center" vertical="center" wrapText="1"/>
      <protection/>
    </xf>
    <xf numFmtId="0" fontId="2" fillId="3" borderId="34" xfId="0" applyFont="1" applyFill="1" applyBorder="1" applyAlignment="1" applyProtection="1">
      <alignment horizontal="center" vertical="center" wrapText="1"/>
      <protection/>
    </xf>
    <xf numFmtId="0" fontId="2" fillId="3" borderId="52" xfId="0" applyFont="1" applyFill="1" applyBorder="1" applyAlignment="1" applyProtection="1">
      <alignment horizontal="center" vertical="center" wrapText="1"/>
      <protection/>
    </xf>
    <xf numFmtId="0" fontId="2" fillId="3" borderId="34" xfId="0" applyFont="1" applyFill="1" applyBorder="1" applyAlignment="1" applyProtection="1">
      <alignment horizontal="center" vertical="center" textRotation="90" wrapText="1"/>
      <protection/>
    </xf>
    <xf numFmtId="0" fontId="2" fillId="3" borderId="5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3" borderId="61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10" borderId="34" xfId="0" applyFont="1" applyFill="1" applyBorder="1" applyAlignment="1" applyProtection="1">
      <alignment horizontal="center" vertical="center" wrapText="1"/>
      <protection/>
    </xf>
    <xf numFmtId="0" fontId="2" fillId="10" borderId="6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9" fillId="11" borderId="0" xfId="0" applyFont="1" applyFill="1" applyBorder="1" applyAlignment="1">
      <alignment horizontal="center"/>
    </xf>
    <xf numFmtId="0" fontId="9" fillId="11" borderId="2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62" xfId="0" applyFont="1" applyFill="1" applyBorder="1" applyAlignment="1">
      <alignment horizontal="center" wrapText="1"/>
    </xf>
    <xf numFmtId="0" fontId="3" fillId="3" borderId="63" xfId="0" applyFont="1" applyFill="1" applyBorder="1" applyAlignment="1">
      <alignment horizontal="center" wrapText="1"/>
    </xf>
    <xf numFmtId="0" fontId="3" fillId="3" borderId="64" xfId="0" applyFont="1" applyFill="1" applyBorder="1" applyAlignment="1">
      <alignment horizontal="center" wrapText="1"/>
    </xf>
    <xf numFmtId="0" fontId="3" fillId="3" borderId="65" xfId="0" applyFont="1" applyFill="1" applyBorder="1" applyAlignment="1">
      <alignment horizontal="center" wrapText="1"/>
    </xf>
    <xf numFmtId="0" fontId="3" fillId="3" borderId="66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textRotation="90" wrapText="1"/>
    </xf>
    <xf numFmtId="0" fontId="3" fillId="3" borderId="15" xfId="0" applyFont="1" applyFill="1" applyBorder="1" applyAlignment="1">
      <alignment horizontal="center" textRotation="90" wrapText="1"/>
    </xf>
    <xf numFmtId="0" fontId="3" fillId="3" borderId="11" xfId="0" applyFont="1" applyFill="1" applyBorder="1" applyAlignment="1">
      <alignment horizontal="center" textRotation="90" wrapText="1"/>
    </xf>
    <xf numFmtId="0" fontId="3" fillId="3" borderId="67" xfId="0" applyFont="1" applyFill="1" applyBorder="1" applyAlignment="1">
      <alignment horizontal="center" textRotation="90" wrapText="1"/>
    </xf>
    <xf numFmtId="0" fontId="3" fillId="3" borderId="68" xfId="0" applyFont="1" applyFill="1" applyBorder="1" applyAlignment="1">
      <alignment horizontal="center" textRotation="90" wrapText="1"/>
    </xf>
    <xf numFmtId="0" fontId="3" fillId="3" borderId="69" xfId="0" applyFont="1" applyFill="1" applyBorder="1" applyAlignment="1">
      <alignment horizontal="center" textRotation="90" wrapText="1"/>
    </xf>
    <xf numFmtId="0" fontId="3" fillId="3" borderId="20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wrapText="1"/>
      <protection locked="0"/>
    </xf>
    <xf numFmtId="0" fontId="9" fillId="11" borderId="7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textRotation="90" wrapText="1"/>
    </xf>
    <xf numFmtId="0" fontId="3" fillId="3" borderId="7" xfId="0" applyFont="1" applyFill="1" applyBorder="1" applyAlignment="1">
      <alignment horizontal="center" textRotation="90" wrapText="1"/>
    </xf>
    <xf numFmtId="0" fontId="3" fillId="3" borderId="29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71" xfId="0" applyFont="1" applyFill="1" applyBorder="1" applyAlignment="1" applyProtection="1">
      <alignment wrapText="1"/>
      <protection/>
    </xf>
    <xf numFmtId="0" fontId="3" fillId="3" borderId="38" xfId="0" applyFont="1" applyFill="1" applyBorder="1" applyAlignment="1" applyProtection="1">
      <alignment wrapText="1"/>
      <protection/>
    </xf>
    <xf numFmtId="0" fontId="3" fillId="3" borderId="7" xfId="0" applyFont="1" applyFill="1" applyBorder="1" applyAlignment="1" applyProtection="1">
      <alignment horizontal="center" textRotation="90" wrapText="1"/>
      <protection/>
    </xf>
    <xf numFmtId="0" fontId="8" fillId="11" borderId="54" xfId="0" applyFont="1" applyFill="1" applyBorder="1" applyAlignment="1" applyProtection="1">
      <alignment horizontal="center" vertical="top" wrapText="1"/>
      <protection/>
    </xf>
    <xf numFmtId="0" fontId="8" fillId="11" borderId="0" xfId="0" applyFont="1" applyFill="1" applyBorder="1" applyAlignment="1" applyProtection="1">
      <alignment horizontal="center" vertical="top" wrapText="1"/>
      <protection/>
    </xf>
    <xf numFmtId="0" fontId="3" fillId="3" borderId="7" xfId="0" applyFont="1" applyFill="1" applyBorder="1" applyAlignment="1" applyProtection="1">
      <alignment vertical="center" wrapText="1"/>
      <protection/>
    </xf>
    <xf numFmtId="0" fontId="3" fillId="3" borderId="7" xfId="0" applyFont="1" applyFill="1" applyBorder="1" applyAlignment="1" applyProtection="1">
      <alignment horizontal="center" wrapText="1"/>
      <protection/>
    </xf>
    <xf numFmtId="0" fontId="3" fillId="3" borderId="60" xfId="0" applyFont="1" applyFill="1" applyBorder="1" applyAlignment="1" applyProtection="1">
      <alignment horizontal="center" wrapText="1"/>
      <protection/>
    </xf>
    <xf numFmtId="0" fontId="3" fillId="3" borderId="31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C0C0C0"/>
      </font>
      <fill>
        <patternFill>
          <bgColor rgb="FFC0C0C0"/>
        </patternFill>
      </fill>
      <border/>
    </dxf>
    <dxf>
      <border/>
    </dxf>
    <dxf>
      <font>
        <b val="0"/>
        <i val="0"/>
        <color auto="1"/>
      </font>
      <fill>
        <patternFill patternType="none">
          <fgColor indexed="64"/>
          <bgColor indexed="65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9</xdr:row>
      <xdr:rowOff>133350</xdr:rowOff>
    </xdr:from>
    <xdr:to>
      <xdr:col>13</xdr:col>
      <xdr:colOff>371475</xdr:colOff>
      <xdr:row>16</xdr:row>
      <xdr:rowOff>47625</xdr:rowOff>
    </xdr:to>
    <xdr:grpSp>
      <xdr:nvGrpSpPr>
        <xdr:cNvPr id="1" name="Group 14"/>
        <xdr:cNvGrpSpPr>
          <a:grpSpLocks/>
        </xdr:cNvGrpSpPr>
      </xdr:nvGrpSpPr>
      <xdr:grpSpPr>
        <a:xfrm>
          <a:off x="4305300" y="1962150"/>
          <a:ext cx="4200525" cy="1400175"/>
          <a:chOff x="427" y="194"/>
          <a:chExt cx="410" cy="144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27" y="194"/>
            <a:ext cx="410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Enter Sails and Sail Area for your boat. 
Enter Mainsail Dimensions for your boat.
You may modify any cell with yellow background.</a:t>
            </a:r>
          </a:p>
        </xdr:txBody>
      </xdr:sp>
      <xdr:pic>
        <xdr:nvPicPr>
          <xdr:cNvPr id="3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8" y="252"/>
            <a:ext cx="331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8" y="278"/>
            <a:ext cx="279" cy="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7"/>
          <xdr:cNvSpPr>
            <a:spLocks/>
          </xdr:cNvSpPr>
        </xdr:nvSpPr>
        <xdr:spPr>
          <a:xfrm>
            <a:off x="427" y="248"/>
            <a:ext cx="410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CheckBox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32" y="315"/>
            <a:ext cx="383" cy="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13"/>
          <xdr:cNvSpPr>
            <a:spLocks/>
          </xdr:cNvSpPr>
        </xdr:nvSpPr>
        <xdr:spPr>
          <a:xfrm>
            <a:off x="427" y="308"/>
            <a:ext cx="410" cy="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rken.com/blocks/loads.pdf" TargetMode="External" /><Relationship Id="rId2" Type="http://schemas.openxmlformats.org/officeDocument/2006/relationships/hyperlink" Target="http://www.harken.com/blocks/loads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"/>
  <sheetViews>
    <sheetView workbookViewId="0" topLeftCell="A7">
      <selection activeCell="B16" sqref="B16"/>
    </sheetView>
  </sheetViews>
  <sheetFormatPr defaultColWidth="9.140625" defaultRowHeight="12.75"/>
  <cols>
    <col min="1" max="1" width="10.7109375" style="0" bestFit="1" customWidth="1"/>
    <col min="2" max="2" width="13.7109375" style="0" customWidth="1"/>
    <col min="3" max="3" width="10.28125" style="0" customWidth="1"/>
    <col min="4" max="5" width="11.140625" style="0" customWidth="1"/>
    <col min="6" max="8" width="10.28125" style="0" customWidth="1"/>
    <col min="9" max="10" width="7.140625" style="0" bestFit="1" customWidth="1"/>
    <col min="11" max="11" width="8.140625" style="0" bestFit="1" customWidth="1"/>
    <col min="12" max="12" width="11.140625" style="0" hidden="1" customWidth="1"/>
    <col min="13" max="13" width="11.7109375" style="0" hidden="1" customWidth="1"/>
  </cols>
  <sheetData>
    <row r="1" spans="1:16" ht="26.25" customHeight="1">
      <c r="A1" s="292" t="s">
        <v>78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5"/>
      <c r="M1" s="5"/>
      <c r="N1" s="5"/>
      <c r="O1" s="5"/>
      <c r="P1" s="5"/>
    </row>
    <row r="2" spans="1:16" ht="17.25" customHeight="1">
      <c r="A2" s="292" t="s">
        <v>117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5"/>
      <c r="M2" s="5"/>
      <c r="N2" s="5"/>
      <c r="O2" s="5"/>
      <c r="P2" s="5"/>
    </row>
    <row r="3" spans="1:16" ht="15.75">
      <c r="A3" s="6"/>
      <c r="B3" s="299" t="s">
        <v>80</v>
      </c>
      <c r="C3" s="299"/>
      <c r="D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6"/>
      <c r="B4" s="21" t="s">
        <v>79</v>
      </c>
      <c r="C4" s="79"/>
      <c r="D4" s="6"/>
      <c r="E4" s="21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4" customFormat="1" ht="12.75" customHeight="1" thickBot="1">
      <c r="A5" s="22"/>
      <c r="B5" s="98" t="s">
        <v>113</v>
      </c>
      <c r="C5" s="23"/>
      <c r="D5" s="22"/>
      <c r="E5" s="22"/>
      <c r="J5" s="22"/>
      <c r="K5" s="22"/>
      <c r="L5" s="22"/>
      <c r="M5" s="22"/>
      <c r="N5" s="22"/>
      <c r="O5" s="22"/>
      <c r="P5" s="22"/>
    </row>
    <row r="6" spans="2:13" ht="16.5" thickBot="1">
      <c r="B6" s="293" t="s">
        <v>16</v>
      </c>
      <c r="C6" s="294"/>
      <c r="D6" s="294"/>
      <c r="E6" s="294"/>
      <c r="F6" s="294"/>
      <c r="G6" s="294"/>
      <c r="H6" s="294"/>
      <c r="I6" s="294"/>
      <c r="J6" s="294"/>
      <c r="K6" s="295"/>
      <c r="L6" s="300" t="s">
        <v>116</v>
      </c>
      <c r="M6" s="301"/>
    </row>
    <row r="7" spans="1:13" ht="33.75" customHeight="1" thickBot="1">
      <c r="A7" s="118" t="s">
        <v>4</v>
      </c>
      <c r="B7" s="120" t="s">
        <v>5</v>
      </c>
      <c r="C7" s="121" t="s">
        <v>73</v>
      </c>
      <c r="D7" s="121" t="s">
        <v>74</v>
      </c>
      <c r="E7" s="121"/>
      <c r="F7" s="121" t="s">
        <v>71</v>
      </c>
      <c r="G7" s="121" t="s">
        <v>72</v>
      </c>
      <c r="H7" s="121"/>
      <c r="I7" s="121" t="s">
        <v>76</v>
      </c>
      <c r="J7" s="121" t="s">
        <v>75</v>
      </c>
      <c r="K7" s="122" t="s">
        <v>77</v>
      </c>
      <c r="L7" s="3" t="s">
        <v>73</v>
      </c>
      <c r="M7" s="113" t="s">
        <v>74</v>
      </c>
    </row>
    <row r="8" spans="1:13" ht="16.5" customHeight="1">
      <c r="A8" s="119" t="s">
        <v>105</v>
      </c>
      <c r="B8" s="134" t="s">
        <v>8</v>
      </c>
      <c r="C8" s="135">
        <f aca="true" t="shared" si="0" ref="C8:D10">LenHandle*2*F8/$I8</f>
        <v>16.256</v>
      </c>
      <c r="D8" s="135">
        <f t="shared" si="0"/>
        <v>53.339999999999996</v>
      </c>
      <c r="E8" s="136"/>
      <c r="F8" s="137">
        <f>VLOOKUP($B8,AndersonSpecs,4)</f>
        <v>3.2</v>
      </c>
      <c r="G8" s="137">
        <f>VLOOKUP($B8,AndersonSpecs,5)</f>
        <v>10.5</v>
      </c>
      <c r="H8" s="138"/>
      <c r="I8" s="139">
        <f>VLOOKUP($B8,AndersonSpecs,10)</f>
        <v>3.937007874015748</v>
      </c>
      <c r="J8" s="139">
        <f>VLOOKUP($B8,AndersonSpecs,11)</f>
        <v>7.874015748031496</v>
      </c>
      <c r="K8" s="140">
        <f>VLOOKUP($B8,AndersonSpecs,12)</f>
        <v>8.858267716535433</v>
      </c>
      <c r="L8" s="111">
        <f>VLOOKUP($B8,AndersonSpecs,7)</f>
        <v>16.2</v>
      </c>
      <c r="M8" s="112">
        <f>VLOOKUP($B8,AndersonSpecs,8)</f>
        <v>52</v>
      </c>
    </row>
    <row r="9" spans="1:13" ht="16.5" customHeight="1">
      <c r="A9" s="116" t="s">
        <v>106</v>
      </c>
      <c r="B9" s="141" t="s">
        <v>7</v>
      </c>
      <c r="C9" s="142">
        <f t="shared" si="0"/>
        <v>8.689473684210526</v>
      </c>
      <c r="D9" s="142">
        <f t="shared" si="0"/>
        <v>40.10526315789474</v>
      </c>
      <c r="E9" s="143"/>
      <c r="F9" s="144">
        <f>VLOOKUP(B9,AndersonSpecs,4)</f>
        <v>1.3</v>
      </c>
      <c r="G9" s="144">
        <f>VLOOKUP(B9,AndersonSpecs,5)</f>
        <v>6</v>
      </c>
      <c r="H9" s="145"/>
      <c r="I9" s="146">
        <f>VLOOKUP($B9,AndersonSpecs,10)</f>
        <v>2.9921259842519685</v>
      </c>
      <c r="J9" s="146">
        <f>VLOOKUP($B9,AndersonSpecs,11)</f>
        <v>5.984251968503937</v>
      </c>
      <c r="K9" s="147">
        <f>VLOOKUP($B9,AndersonSpecs,12)</f>
        <v>6.771653543307087</v>
      </c>
      <c r="L9" s="107">
        <f>VLOOKUP($B9,AndersonSpecs,7)</f>
        <v>8.5</v>
      </c>
      <c r="M9" s="108">
        <f>VLOOKUP($B9,AndersonSpecs,8)</f>
        <v>39.5</v>
      </c>
    </row>
    <row r="10" spans="1:13" ht="16.5" customHeight="1" thickBot="1">
      <c r="A10" s="117" t="s">
        <v>107</v>
      </c>
      <c r="B10" s="148" t="s">
        <v>6</v>
      </c>
      <c r="C10" s="149">
        <f t="shared" si="0"/>
        <v>9.434285714285714</v>
      </c>
      <c r="D10" s="149">
        <f t="shared" si="0"/>
        <v>26.85142857142857</v>
      </c>
      <c r="E10" s="150"/>
      <c r="F10" s="151">
        <f>VLOOKUP(B10,AndersonSpecs,4)</f>
        <v>1.3</v>
      </c>
      <c r="G10" s="151">
        <f>VLOOKUP(B10,AndersonSpecs,5)</f>
        <v>3.7</v>
      </c>
      <c r="H10" s="152"/>
      <c r="I10" s="153">
        <f>VLOOKUP($B10,AndersonSpecs,10)</f>
        <v>2.7559055118110236</v>
      </c>
      <c r="J10" s="153">
        <f>VLOOKUP($B10,AndersonSpecs,11)</f>
        <v>4.921259842519685</v>
      </c>
      <c r="K10" s="154">
        <f>VLOOKUP($B10,AndersonSpecs,12)</f>
        <v>5.984251968503937</v>
      </c>
      <c r="L10" s="109">
        <f>VLOOKUP($B10,AndersonSpecs,7)</f>
        <v>9.5</v>
      </c>
      <c r="M10" s="110">
        <f>VLOOKUP($B10,AndersonSpecs,8)</f>
        <v>26.5</v>
      </c>
    </row>
    <row r="11" spans="2:11" ht="16.5" customHeight="1" thickBot="1">
      <c r="B11" s="7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2:13" ht="16.5" customHeight="1" thickBot="1">
      <c r="B12" s="296" t="s">
        <v>11</v>
      </c>
      <c r="C12" s="297"/>
      <c r="D12" s="297"/>
      <c r="E12" s="297"/>
      <c r="F12" s="297"/>
      <c r="G12" s="297"/>
      <c r="H12" s="297"/>
      <c r="I12" s="297"/>
      <c r="J12" s="297"/>
      <c r="K12" s="298"/>
      <c r="L12" s="300" t="s">
        <v>116</v>
      </c>
      <c r="M12" s="301"/>
    </row>
    <row r="13" spans="1:13" ht="26.25" thickBot="1">
      <c r="A13" s="114" t="s">
        <v>5</v>
      </c>
      <c r="B13" s="156" t="s">
        <v>5</v>
      </c>
      <c r="C13" s="157" t="s">
        <v>73</v>
      </c>
      <c r="D13" s="157" t="s">
        <v>74</v>
      </c>
      <c r="E13" s="157" t="s">
        <v>108</v>
      </c>
      <c r="F13" s="157" t="s">
        <v>71</v>
      </c>
      <c r="G13" s="157" t="s">
        <v>72</v>
      </c>
      <c r="H13" s="157" t="s">
        <v>112</v>
      </c>
      <c r="I13" s="157" t="s">
        <v>76</v>
      </c>
      <c r="J13" s="157" t="s">
        <v>75</v>
      </c>
      <c r="K13" s="158" t="s">
        <v>77</v>
      </c>
      <c r="L13" s="3" t="s">
        <v>73</v>
      </c>
      <c r="M13" s="113" t="s">
        <v>74</v>
      </c>
    </row>
    <row r="14" spans="1:13" ht="16.5" customHeight="1">
      <c r="A14" s="115" t="s">
        <v>105</v>
      </c>
      <c r="B14" s="134" t="s">
        <v>129</v>
      </c>
      <c r="C14" s="135">
        <f aca="true" t="shared" si="1" ref="C14:E16">LenHandle*2*F14/$I14</f>
        <v>21.05263157894737</v>
      </c>
      <c r="D14" s="135">
        <f t="shared" si="1"/>
        <v>54.73684210526316</v>
      </c>
      <c r="E14" s="135">
        <f t="shared" si="1"/>
        <v>9.263157894736842</v>
      </c>
      <c r="F14" s="137">
        <f>VLOOKUP($B14,HarkenSpecs,4)</f>
        <v>5</v>
      </c>
      <c r="G14" s="137">
        <f>VLOOKUP($B14,HarkenSpecs,5)</f>
        <v>13</v>
      </c>
      <c r="H14" s="137">
        <f>VLOOKUP($B14,HarkenSpecs,6)</f>
        <v>2.2</v>
      </c>
      <c r="I14" s="139">
        <f>VLOOKUP($B14,HarkenSpecs,10)</f>
        <v>4.75</v>
      </c>
      <c r="J14" s="139">
        <f>VLOOKUP($B14,HarkenSpecs,11)</f>
        <v>8.875</v>
      </c>
      <c r="K14" s="140">
        <f>VLOOKUP($B14,HarkenSpecs,12)</f>
        <v>10.625</v>
      </c>
      <c r="L14" s="111">
        <f>VLOOKUP($B14,HarkenSpecs,7)</f>
        <v>21</v>
      </c>
      <c r="M14" s="112">
        <f>VLOOKUP($B14,HarkenSpecs,8)</f>
        <v>56</v>
      </c>
    </row>
    <row r="15" spans="1:13" ht="16.5" customHeight="1">
      <c r="A15" s="116" t="s">
        <v>106</v>
      </c>
      <c r="B15" s="141" t="s">
        <v>9</v>
      </c>
      <c r="C15" s="142">
        <f t="shared" si="1"/>
        <v>14.666666666666666</v>
      </c>
      <c r="D15" s="142">
        <f t="shared" si="1"/>
        <v>40</v>
      </c>
      <c r="E15" s="144" t="e">
        <f t="shared" si="1"/>
        <v>#N/A</v>
      </c>
      <c r="F15" s="144">
        <f>VLOOKUP(B15,HarkenSpecs,4)</f>
        <v>2.2</v>
      </c>
      <c r="G15" s="144">
        <f>VLOOKUP(B15,HarkenSpecs,5)</f>
        <v>6</v>
      </c>
      <c r="H15" s="144" t="e">
        <f>VLOOKUP($B15,HarkenSpecs,6)</f>
        <v>#N/A</v>
      </c>
      <c r="I15" s="146">
        <f>VLOOKUP($B15,HarkenSpecs,10)</f>
        <v>3</v>
      </c>
      <c r="J15" s="146">
        <f>VLOOKUP($B15,HarkenSpecs,11)</f>
        <v>5.875</v>
      </c>
      <c r="K15" s="147">
        <f>VLOOKUP($B15,HarkenSpecs,12)</f>
        <v>6.9375</v>
      </c>
      <c r="L15" s="107">
        <f>VLOOKUP($B15,HarkenSpecs,7)</f>
        <v>13.5</v>
      </c>
      <c r="M15" s="108">
        <f>VLOOKUP($B15,HarkenSpecs,8)</f>
        <v>40</v>
      </c>
    </row>
    <row r="16" spans="1:13" ht="16.5" customHeight="1" thickBot="1">
      <c r="A16" s="117" t="s">
        <v>107</v>
      </c>
      <c r="B16" s="148" t="s">
        <v>10</v>
      </c>
      <c r="C16" s="149">
        <f t="shared" si="1"/>
        <v>16.340425531914892</v>
      </c>
      <c r="D16" s="149">
        <f t="shared" si="1"/>
        <v>32</v>
      </c>
      <c r="E16" s="151" t="e">
        <f t="shared" si="1"/>
        <v>#N/A</v>
      </c>
      <c r="F16" s="151">
        <f>VLOOKUP(B16,HarkenSpecs,4)</f>
        <v>2.4</v>
      </c>
      <c r="G16" s="151">
        <f>VLOOKUP(B16,HarkenSpecs,5)</f>
        <v>4.7</v>
      </c>
      <c r="H16" s="151" t="e">
        <f>VLOOKUP($B16,HarkenSpecs,6)</f>
        <v>#N/A</v>
      </c>
      <c r="I16" s="153">
        <f>VLOOKUP($B16,HarkenSpecs,10)</f>
        <v>2.9375</v>
      </c>
      <c r="J16" s="153">
        <f>VLOOKUP($B16,HarkenSpecs,11)</f>
        <v>5.375</v>
      </c>
      <c r="K16" s="154">
        <f>VLOOKUP($B16,HarkenSpecs,12)</f>
        <v>6.4375</v>
      </c>
      <c r="L16" s="109">
        <f>VLOOKUP($B16,HarkenSpecs,7)</f>
        <v>16</v>
      </c>
      <c r="M16" s="110">
        <f>VLOOKUP($B16,HarkenSpecs,8)</f>
        <v>32</v>
      </c>
    </row>
    <row r="17" spans="2:11" ht="16.5" customHeight="1" thickBot="1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3" ht="16.5" customHeight="1" thickBot="1">
      <c r="B18" s="296" t="s">
        <v>12</v>
      </c>
      <c r="C18" s="297"/>
      <c r="D18" s="297"/>
      <c r="E18" s="297"/>
      <c r="F18" s="297"/>
      <c r="G18" s="297"/>
      <c r="H18" s="297"/>
      <c r="I18" s="297"/>
      <c r="J18" s="297"/>
      <c r="K18" s="298"/>
      <c r="L18" s="300" t="s">
        <v>116</v>
      </c>
      <c r="M18" s="301"/>
    </row>
    <row r="19" spans="1:13" ht="26.25" thickBot="1">
      <c r="A19" s="114" t="s">
        <v>5</v>
      </c>
      <c r="B19" s="156" t="s">
        <v>5</v>
      </c>
      <c r="C19" s="157" t="s">
        <v>73</v>
      </c>
      <c r="D19" s="157" t="s">
        <v>74</v>
      </c>
      <c r="E19" s="157"/>
      <c r="F19" s="157" t="s">
        <v>71</v>
      </c>
      <c r="G19" s="157" t="s">
        <v>72</v>
      </c>
      <c r="H19" s="157"/>
      <c r="I19" s="157" t="s">
        <v>76</v>
      </c>
      <c r="J19" s="157" t="s">
        <v>75</v>
      </c>
      <c r="K19" s="158" t="s">
        <v>77</v>
      </c>
      <c r="L19" s="3" t="s">
        <v>73</v>
      </c>
      <c r="M19" s="113" t="s">
        <v>74</v>
      </c>
    </row>
    <row r="20" spans="1:13" ht="16.5" customHeight="1">
      <c r="A20" s="115" t="s">
        <v>105</v>
      </c>
      <c r="B20" s="134" t="s">
        <v>13</v>
      </c>
      <c r="C20" s="135">
        <f aca="true" t="shared" si="2" ref="C20:D22">LenHandle*2*F20/$I20</f>
        <v>13.575757575757576</v>
      </c>
      <c r="D20" s="135">
        <f t="shared" si="2"/>
        <v>54.303030303030305</v>
      </c>
      <c r="E20" s="136"/>
      <c r="F20" s="137">
        <f>VLOOKUP($B20,LewmarSpecs,4)</f>
        <v>2.8</v>
      </c>
      <c r="G20" s="137">
        <f>VLOOKUP($B20,LewmarSpecs,5)</f>
        <v>11.2</v>
      </c>
      <c r="H20" s="138"/>
      <c r="I20" s="139">
        <f>VLOOKUP($B20,LewmarSpecs,10)</f>
        <v>4.125</v>
      </c>
      <c r="J20" s="139">
        <f>VLOOKUP($B20,LewmarSpecs,11)</f>
        <v>8.0625</v>
      </c>
      <c r="K20" s="140">
        <f>VLOOKUP($B20,LewmarSpecs,12)</f>
        <v>9.875</v>
      </c>
      <c r="L20" s="111">
        <f>VLOOKUP($B20,LewmarSpecs,7)</f>
        <v>13.8</v>
      </c>
      <c r="M20" s="112">
        <f>VLOOKUP($B20,LewmarSpecs,8)</f>
        <v>54</v>
      </c>
    </row>
    <row r="21" spans="1:13" ht="16.5" customHeight="1">
      <c r="A21" s="116" t="s">
        <v>106</v>
      </c>
      <c r="B21" s="141" t="s">
        <v>14</v>
      </c>
      <c r="C21" s="142">
        <f t="shared" si="2"/>
        <v>13.10344827586207</v>
      </c>
      <c r="D21" s="142">
        <f t="shared" si="2"/>
        <v>40</v>
      </c>
      <c r="E21" s="143"/>
      <c r="F21" s="144">
        <f>VLOOKUP(B21,LewmarSpecs,4)</f>
        <v>1.9</v>
      </c>
      <c r="G21" s="144">
        <f>VLOOKUP(B21,LewmarSpecs,5)</f>
        <v>5.8</v>
      </c>
      <c r="H21" s="145"/>
      <c r="I21" s="146">
        <f>VLOOKUP($B21,LewmarSpecs,10)</f>
        <v>2.9</v>
      </c>
      <c r="J21" s="146">
        <f>VLOOKUP($B21,LewmarSpecs,11)</f>
        <v>5.8125</v>
      </c>
      <c r="K21" s="147">
        <f>VLOOKUP($B21,LewmarSpecs,12)</f>
        <v>6.8125</v>
      </c>
      <c r="L21" s="107">
        <f>VLOOKUP($B21,LewmarSpecs,7)</f>
        <v>13.2</v>
      </c>
      <c r="M21" s="108">
        <f>VLOOKUP($B21,LewmarSpecs,8)</f>
        <v>40.2</v>
      </c>
    </row>
    <row r="22" spans="1:13" ht="16.5" customHeight="1" thickBot="1">
      <c r="A22" s="117" t="s">
        <v>107</v>
      </c>
      <c r="B22" s="148" t="s">
        <v>15</v>
      </c>
      <c r="C22" s="149">
        <f t="shared" si="2"/>
        <v>13.617021276595745</v>
      </c>
      <c r="D22" s="149">
        <f t="shared" si="2"/>
        <v>28.595744680851062</v>
      </c>
      <c r="E22" s="150"/>
      <c r="F22" s="151">
        <f>VLOOKUP(B22,LewmarSpecs,4)</f>
        <v>2</v>
      </c>
      <c r="G22" s="151">
        <f>VLOOKUP(B22,LewmarSpecs,5)</f>
        <v>4.2</v>
      </c>
      <c r="H22" s="152"/>
      <c r="I22" s="153">
        <f>VLOOKUP($B22,LewmarSpecs,10)</f>
        <v>2.9375</v>
      </c>
      <c r="J22" s="153">
        <f>VLOOKUP($B22,LewmarSpecs,11)</f>
        <v>5.4375</v>
      </c>
      <c r="K22" s="154">
        <f>VLOOKUP($B22,LewmarSpecs,12)</f>
        <v>6.3125</v>
      </c>
      <c r="L22" s="109">
        <f>VLOOKUP($B22,LewmarSpecs,7)</f>
        <v>13.8</v>
      </c>
      <c r="M22" s="110">
        <f>VLOOKUP($B22,LewmarSpecs,8)</f>
        <v>29.2</v>
      </c>
    </row>
    <row r="23" ht="12.75">
      <c r="B23" s="7"/>
    </row>
    <row r="24" ht="12.75">
      <c r="B24" s="83" t="s">
        <v>110</v>
      </c>
    </row>
    <row r="25" spans="1:9" ht="15.75">
      <c r="A25" s="6"/>
      <c r="B25" s="6"/>
      <c r="C25" s="6"/>
      <c r="D25" s="6"/>
      <c r="E25" s="6"/>
      <c r="F25" s="6"/>
      <c r="G25" s="6"/>
      <c r="H25" s="6"/>
      <c r="I25" s="6"/>
    </row>
    <row r="26" ht="12.75">
      <c r="A26" t="s">
        <v>177</v>
      </c>
    </row>
  </sheetData>
  <sheetProtection/>
  <mergeCells count="9">
    <mergeCell ref="L6:M6"/>
    <mergeCell ref="L12:M12"/>
    <mergeCell ref="L18:M18"/>
    <mergeCell ref="A2:K2"/>
    <mergeCell ref="A1:K1"/>
    <mergeCell ref="B6:K6"/>
    <mergeCell ref="B12:K12"/>
    <mergeCell ref="B18:K18"/>
    <mergeCell ref="B3:C3"/>
  </mergeCells>
  <conditionalFormatting sqref="H14">
    <cfRule type="expression" priority="1" dxfId="0" stopIfTrue="1">
      <formula>ISNA($H$14)</formula>
    </cfRule>
  </conditionalFormatting>
  <conditionalFormatting sqref="H16 E16">
    <cfRule type="expression" priority="2" dxfId="0" stopIfTrue="1">
      <formula>ISNA($H$16)</formula>
    </cfRule>
  </conditionalFormatting>
  <conditionalFormatting sqref="H15 E15">
    <cfRule type="expression" priority="3" dxfId="0" stopIfTrue="1">
      <formula>ISNA($H$15)</formula>
    </cfRule>
  </conditionalFormatting>
  <dataValidations count="3">
    <dataValidation type="list" allowBlank="1" showInputMessage="1" showErrorMessage="1" sqref="B8:B10">
      <formula1>AndersonSpecsPartno</formula1>
    </dataValidation>
    <dataValidation type="list" allowBlank="1" showInputMessage="1" showErrorMessage="1" sqref="B20:B22">
      <formula1>LewmarSpecsPartno</formula1>
    </dataValidation>
    <dataValidation type="list" allowBlank="1" showInputMessage="1" showErrorMessage="1" sqref="B14:B16">
      <formula1>HarkenSpecsPartno</formula1>
    </dataValidation>
  </dataValidations>
  <printOptions/>
  <pageMargins left="1.09" right="0.75" top="0.82" bottom="1" header="0.5" footer="0.5"/>
  <pageSetup horizontalDpi="600" verticalDpi="600" orientation="landscape" r:id="rId3"/>
  <headerFooter alignWithMargins="0">
    <oddFooter>&amp;CPage &amp;P of &amp;N</oddFooter>
  </headerFooter>
  <legacyDrawing r:id="rId2"/>
  <oleObjects>
    <oleObject progId="MSPhotoEd.3" shapeId="67794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3"/>
  <sheetViews>
    <sheetView showGridLines="0" tabSelected="1" workbookViewId="0" topLeftCell="A1">
      <selection activeCell="B19" sqref="B19:B20"/>
    </sheetView>
  </sheetViews>
  <sheetFormatPr defaultColWidth="9.140625" defaultRowHeight="12.75"/>
  <cols>
    <col min="1" max="1" width="28.8515625" style="7" customWidth="1"/>
    <col min="2" max="10" width="7.28125" style="7" customWidth="1"/>
    <col min="11" max="11" width="9.8515625" style="7" bestFit="1" customWidth="1"/>
    <col min="12" max="12" width="8.7109375" style="7" bestFit="1" customWidth="1"/>
    <col min="13" max="13" width="9.00390625" style="7" bestFit="1" customWidth="1"/>
    <col min="14" max="14" width="7.57421875" style="7" customWidth="1"/>
    <col min="15" max="15" width="7.00390625" style="7" hidden="1" customWidth="1"/>
    <col min="16" max="17" width="0" style="7" hidden="1" customWidth="1"/>
    <col min="18" max="16384" width="9.140625" style="7" customWidth="1"/>
  </cols>
  <sheetData>
    <row r="1" spans="1:17" ht="24" thickBot="1">
      <c r="A1" s="305" t="s">
        <v>148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7" t="b">
        <v>1</v>
      </c>
      <c r="P1" s="7" t="b">
        <v>1</v>
      </c>
      <c r="Q1" s="7">
        <f>IF(P1,Q3,1)</f>
        <v>0.3333333333333333</v>
      </c>
    </row>
    <row r="2" spans="1:15" ht="15" customHeight="1">
      <c r="A2" s="308" t="s">
        <v>0</v>
      </c>
      <c r="B2" s="8" t="s">
        <v>28</v>
      </c>
      <c r="C2" s="315" t="str">
        <f>C19</f>
        <v>Load (lbs.) for Apparent Wind (Knots)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  <c r="O2" s="7">
        <f>IF(NOT(UseFPS),1/2.2,1)</f>
        <v>1</v>
      </c>
    </row>
    <row r="3" spans="1:17" ht="23.25" thickBot="1">
      <c r="A3" s="309"/>
      <c r="B3" s="9" t="s">
        <v>1</v>
      </c>
      <c r="C3" s="10">
        <v>5</v>
      </c>
      <c r="D3" s="11">
        <f>C3+5</f>
        <v>10</v>
      </c>
      <c r="E3" s="11">
        <f>D3+5</f>
        <v>15</v>
      </c>
      <c r="F3" s="11">
        <f>E3+5</f>
        <v>20</v>
      </c>
      <c r="G3" s="11">
        <f>F3+5</f>
        <v>25</v>
      </c>
      <c r="H3" s="11">
        <f aca="true" t="shared" si="0" ref="H3:N3">G3+5</f>
        <v>30</v>
      </c>
      <c r="I3" s="11">
        <f t="shared" si="0"/>
        <v>35</v>
      </c>
      <c r="J3" s="11">
        <f t="shared" si="0"/>
        <v>40</v>
      </c>
      <c r="K3" s="11">
        <f t="shared" si="0"/>
        <v>45</v>
      </c>
      <c r="L3" s="11">
        <f t="shared" si="0"/>
        <v>50</v>
      </c>
      <c r="M3" s="11">
        <f t="shared" si="0"/>
        <v>55</v>
      </c>
      <c r="N3" s="12">
        <f t="shared" si="0"/>
        <v>60</v>
      </c>
      <c r="Q3" s="7">
        <f>VLOOKUP(B16,TravellerBlock,2)</f>
        <v>0.3333333333333333</v>
      </c>
    </row>
    <row r="4" spans="1:17" s="126" customFormat="1" ht="12.75">
      <c r="A4" s="216" t="s">
        <v>114</v>
      </c>
      <c r="B4" s="217">
        <v>479.6</v>
      </c>
      <c r="C4" s="123">
        <f aca="true" t="shared" si="1" ref="C4:N8">KgPerLb*$B4*C$3*C$3*0.00431</f>
        <v>51.676899999999996</v>
      </c>
      <c r="D4" s="124">
        <f t="shared" si="1"/>
        <v>206.70759999999999</v>
      </c>
      <c r="E4" s="124">
        <f t="shared" si="1"/>
        <v>465.09209999999996</v>
      </c>
      <c r="F4" s="125">
        <f t="shared" si="1"/>
        <v>826.8303999999999</v>
      </c>
      <c r="G4" s="267">
        <f t="shared" si="1"/>
        <v>1291.9225</v>
      </c>
      <c r="H4" s="267">
        <f t="shared" si="1"/>
        <v>1860.3683999999998</v>
      </c>
      <c r="I4" s="267">
        <f t="shared" si="1"/>
        <v>2532.1681</v>
      </c>
      <c r="J4" s="267">
        <f t="shared" si="1"/>
        <v>3307.3215999999998</v>
      </c>
      <c r="K4" s="267">
        <f t="shared" si="1"/>
        <v>4185.8288999999995</v>
      </c>
      <c r="L4" s="266">
        <f t="shared" si="1"/>
        <v>5167.69</v>
      </c>
      <c r="M4" s="267">
        <f t="shared" si="1"/>
        <v>6252.9048999999995</v>
      </c>
      <c r="N4" s="268">
        <f t="shared" si="1"/>
        <v>7441.473599999999</v>
      </c>
      <c r="P4" s="258" t="s">
        <v>188</v>
      </c>
      <c r="Q4" s="258">
        <f>1/LEFT(P4)</f>
        <v>1</v>
      </c>
    </row>
    <row r="5" spans="1:17" s="126" customFormat="1" ht="12.75">
      <c r="A5" s="214" t="s">
        <v>115</v>
      </c>
      <c r="B5" s="218">
        <v>385</v>
      </c>
      <c r="C5" s="260">
        <f t="shared" si="1"/>
        <v>41.48374999999999</v>
      </c>
      <c r="D5" s="261">
        <f t="shared" si="1"/>
        <v>165.93499999999997</v>
      </c>
      <c r="E5" s="127">
        <f t="shared" si="1"/>
        <v>373.35375</v>
      </c>
      <c r="F5" s="128">
        <f t="shared" si="1"/>
        <v>663.7399999999999</v>
      </c>
      <c r="G5" s="128">
        <f t="shared" si="1"/>
        <v>1037.09375</v>
      </c>
      <c r="H5" s="128">
        <f t="shared" si="1"/>
        <v>1493.415</v>
      </c>
      <c r="I5" s="261">
        <f t="shared" si="1"/>
        <v>2032.70375</v>
      </c>
      <c r="J5" s="261">
        <f t="shared" si="1"/>
        <v>2654.9599999999996</v>
      </c>
      <c r="K5" s="261">
        <f t="shared" si="1"/>
        <v>3360.1837499999997</v>
      </c>
      <c r="L5" s="261">
        <f t="shared" si="1"/>
        <v>4148.375</v>
      </c>
      <c r="M5" s="261">
        <f t="shared" si="1"/>
        <v>5019.53375</v>
      </c>
      <c r="N5" s="269">
        <f t="shared" si="1"/>
        <v>5973.66</v>
      </c>
      <c r="P5" s="258" t="s">
        <v>189</v>
      </c>
      <c r="Q5" s="258">
        <f aca="true" t="shared" si="2" ref="Q5:Q11">1/LEFT(P5)</f>
        <v>0.5</v>
      </c>
    </row>
    <row r="6" spans="1:17" s="126" customFormat="1" ht="12.75">
      <c r="A6" s="214" t="s">
        <v>2</v>
      </c>
      <c r="B6" s="218">
        <v>160</v>
      </c>
      <c r="C6" s="260">
        <f t="shared" si="1"/>
        <v>17.24</v>
      </c>
      <c r="D6" s="127">
        <f t="shared" si="1"/>
        <v>68.96</v>
      </c>
      <c r="E6" s="127">
        <f t="shared" si="1"/>
        <v>155.16</v>
      </c>
      <c r="F6" s="128">
        <f t="shared" si="1"/>
        <v>275.84</v>
      </c>
      <c r="G6" s="128">
        <f t="shared" si="1"/>
        <v>430.99999999999994</v>
      </c>
      <c r="H6" s="127">
        <f t="shared" si="1"/>
        <v>620.64</v>
      </c>
      <c r="I6" s="127">
        <f t="shared" si="1"/>
        <v>844.7599999999999</v>
      </c>
      <c r="J6" s="127">
        <f t="shared" si="1"/>
        <v>1103.36</v>
      </c>
      <c r="K6" s="261">
        <f t="shared" si="1"/>
        <v>1396.4399999999998</v>
      </c>
      <c r="L6" s="261">
        <f t="shared" si="1"/>
        <v>1723.9999999999998</v>
      </c>
      <c r="M6" s="261">
        <f t="shared" si="1"/>
        <v>2086.04</v>
      </c>
      <c r="N6" s="269">
        <f t="shared" si="1"/>
        <v>2482.56</v>
      </c>
      <c r="P6" s="258" t="s">
        <v>190</v>
      </c>
      <c r="Q6" s="258">
        <f t="shared" si="2"/>
        <v>0.3333333333333333</v>
      </c>
    </row>
    <row r="7" spans="1:17" s="126" customFormat="1" ht="12.75">
      <c r="A7" s="214" t="s">
        <v>3</v>
      </c>
      <c r="B7" s="218">
        <v>115</v>
      </c>
      <c r="C7" s="260">
        <f t="shared" si="1"/>
        <v>12.39125</v>
      </c>
      <c r="D7" s="261">
        <f t="shared" si="1"/>
        <v>49.565</v>
      </c>
      <c r="E7" s="261">
        <f t="shared" si="1"/>
        <v>111.52125</v>
      </c>
      <c r="F7" s="261">
        <f t="shared" si="1"/>
        <v>198.26</v>
      </c>
      <c r="G7" s="261">
        <f t="shared" si="1"/>
        <v>309.78124999999994</v>
      </c>
      <c r="H7" s="127">
        <f t="shared" si="1"/>
        <v>446.085</v>
      </c>
      <c r="I7" s="127">
        <f t="shared" si="1"/>
        <v>607.17125</v>
      </c>
      <c r="J7" s="127">
        <f t="shared" si="1"/>
        <v>793.04</v>
      </c>
      <c r="K7" s="127">
        <f t="shared" si="1"/>
        <v>1003.6912499999999</v>
      </c>
      <c r="L7" s="261">
        <f t="shared" si="1"/>
        <v>1239.1249999999998</v>
      </c>
      <c r="M7" s="261">
        <f t="shared" si="1"/>
        <v>1499.34125</v>
      </c>
      <c r="N7" s="269">
        <f t="shared" si="1"/>
        <v>1784.34</v>
      </c>
      <c r="P7" s="258" t="s">
        <v>191</v>
      </c>
      <c r="Q7" s="258">
        <f t="shared" si="2"/>
        <v>0.25</v>
      </c>
    </row>
    <row r="8" spans="1:17" s="126" customFormat="1" ht="13.5" thickBot="1">
      <c r="A8" s="215" t="s">
        <v>66</v>
      </c>
      <c r="B8" s="219">
        <v>1295</v>
      </c>
      <c r="C8" s="171">
        <f t="shared" si="1"/>
        <v>139.53625</v>
      </c>
      <c r="D8" s="129">
        <f t="shared" si="1"/>
        <v>558.145</v>
      </c>
      <c r="E8" s="129">
        <f t="shared" si="1"/>
        <v>1255.8262499999998</v>
      </c>
      <c r="F8" s="264">
        <f t="shared" si="1"/>
        <v>2232.58</v>
      </c>
      <c r="G8" s="264">
        <f t="shared" si="1"/>
        <v>3488.4062499999995</v>
      </c>
      <c r="H8" s="264">
        <f t="shared" si="1"/>
        <v>5023.304999999999</v>
      </c>
      <c r="I8" s="264">
        <f t="shared" si="1"/>
        <v>6837.276249999999</v>
      </c>
      <c r="J8" s="264">
        <f t="shared" si="1"/>
        <v>8930.32</v>
      </c>
      <c r="K8" s="264">
        <f t="shared" si="1"/>
        <v>11302.436249999999</v>
      </c>
      <c r="L8" s="264">
        <f t="shared" si="1"/>
        <v>13953.624999999998</v>
      </c>
      <c r="M8" s="264">
        <f t="shared" si="1"/>
        <v>16883.88625</v>
      </c>
      <c r="N8" s="265">
        <f t="shared" si="1"/>
        <v>20093.219999999998</v>
      </c>
      <c r="P8" s="258" t="s">
        <v>192</v>
      </c>
      <c r="Q8" s="258">
        <f t="shared" si="2"/>
        <v>0.2</v>
      </c>
    </row>
    <row r="9" spans="1:17" ht="17.25" customHeight="1">
      <c r="A9" s="262" t="s">
        <v>152</v>
      </c>
      <c r="B9" s="262"/>
      <c r="C9" s="262"/>
      <c r="D9" s="262"/>
      <c r="E9" s="262"/>
      <c r="F9" s="262"/>
      <c r="G9" s="262"/>
      <c r="H9" s="262"/>
      <c r="N9" s="15"/>
      <c r="P9" s="259" t="s">
        <v>193</v>
      </c>
      <c r="Q9" s="258">
        <f t="shared" si="2"/>
        <v>0.16666666666666666</v>
      </c>
    </row>
    <row r="10" spans="1:17" ht="15" customHeight="1">
      <c r="A10" s="263" t="s">
        <v>153</v>
      </c>
      <c r="B10" s="263"/>
      <c r="C10" s="263"/>
      <c r="D10" s="263"/>
      <c r="E10" s="263"/>
      <c r="F10" s="263"/>
      <c r="G10" s="263"/>
      <c r="H10" s="263"/>
      <c r="P10" s="259" t="s">
        <v>194</v>
      </c>
      <c r="Q10" s="258">
        <f t="shared" si="2"/>
        <v>0.14285714285714285</v>
      </c>
    </row>
    <row r="11" spans="16:17" ht="12.75">
      <c r="P11" s="259" t="s">
        <v>195</v>
      </c>
      <c r="Q11" s="258">
        <f t="shared" si="2"/>
        <v>0.125</v>
      </c>
    </row>
    <row r="12" spans="1:16" ht="12.75">
      <c r="A12" s="166" t="s">
        <v>150</v>
      </c>
      <c r="B12" s="177">
        <f>B21</f>
        <v>1</v>
      </c>
      <c r="C12" s="177">
        <f>B22</f>
        <v>0.75</v>
      </c>
      <c r="D12" s="177">
        <f>B23</f>
        <v>0.5012722646310432</v>
      </c>
      <c r="E12" s="177">
        <f>B24</f>
        <v>0.27989821882951654</v>
      </c>
      <c r="G12" s="225"/>
      <c r="H12" s="225"/>
      <c r="I12" s="225"/>
      <c r="J12" s="225"/>
      <c r="K12" s="225"/>
      <c r="L12" s="225"/>
      <c r="M12" s="225"/>
      <c r="N12" s="225"/>
      <c r="P12" s="259"/>
    </row>
    <row r="13" spans="1:16" ht="12.75">
      <c r="A13" s="209" t="s">
        <v>168</v>
      </c>
      <c r="B13" s="220">
        <v>45.33</v>
      </c>
      <c r="C13" s="169">
        <f>SQRT($B$22)*P</f>
        <v>39.2569315535486</v>
      </c>
      <c r="D13" s="169">
        <f>SQRT($B$23)*P</f>
        <v>32.09390457216172</v>
      </c>
      <c r="E13" s="169">
        <f>SQRT($B$24)*P</f>
        <v>23.982021414906587</v>
      </c>
      <c r="G13" s="179"/>
      <c r="P13" s="259"/>
    </row>
    <row r="14" spans="1:16" ht="12.75">
      <c r="A14" s="209" t="s">
        <v>169</v>
      </c>
      <c r="B14" s="220">
        <v>14.6</v>
      </c>
      <c r="C14" s="169">
        <f>SQRT($B$22)*E</f>
        <v>12.643970895252803</v>
      </c>
      <c r="D14" s="169">
        <f>SQRT($B$23)*E</f>
        <v>10.336885214064882</v>
      </c>
      <c r="E14" s="169">
        <f>SQRT($B$24)*E</f>
        <v>7.724189557856523</v>
      </c>
      <c r="P14" s="259"/>
    </row>
    <row r="15" spans="1:16" ht="38.25">
      <c r="A15" s="210" t="s">
        <v>170</v>
      </c>
      <c r="B15" s="221">
        <v>0</v>
      </c>
      <c r="C15" s="170">
        <f>X-(E-E_2)</f>
        <v>-1.9560291047471967</v>
      </c>
      <c r="D15" s="170">
        <f>X-(E-E_3)</f>
        <v>-4.263114785935118</v>
      </c>
      <c r="E15" s="170">
        <f>X-(E-E_4)</f>
        <v>-6.875810442143477</v>
      </c>
      <c r="P15" s="259"/>
    </row>
    <row r="16" spans="1:5" ht="12.75">
      <c r="A16" s="210" t="s">
        <v>187</v>
      </c>
      <c r="B16" s="220" t="s">
        <v>190</v>
      </c>
      <c r="C16" s="257"/>
      <c r="D16" s="257"/>
      <c r="E16" s="257"/>
    </row>
    <row r="17" ht="13.5" thickBot="1"/>
    <row r="18" spans="1:14" ht="24" thickBot="1">
      <c r="A18" s="305" t="str">
        <f>CONCATENATE("Calculated Main Sheet Loadings",IF(P1," Including Traveller Purchase",""))</f>
        <v>Calculated Main Sheet Loadings Including Traveller Purchase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7"/>
    </row>
    <row r="19" spans="1:14" ht="30" customHeight="1">
      <c r="A19" s="308" t="s">
        <v>0</v>
      </c>
      <c r="B19" s="318" t="s">
        <v>149</v>
      </c>
      <c r="C19" s="315" t="str">
        <f>CONCATENATE("Load (",IF(UseFPS,"lbs.","kg."),") for Apparent Wind (Knots)")</f>
        <v>Load (lbs.) for Apparent Wind (Knots)</v>
      </c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7"/>
    </row>
    <row r="20" spans="1:14" ht="13.5" thickBot="1">
      <c r="A20" s="309"/>
      <c r="B20" s="286"/>
      <c r="C20" s="52">
        <v>5</v>
      </c>
      <c r="D20" s="53">
        <f>C20+5</f>
        <v>10</v>
      </c>
      <c r="E20" s="53">
        <f>D20+5</f>
        <v>15</v>
      </c>
      <c r="F20" s="53">
        <f>E20+5</f>
        <v>20</v>
      </c>
      <c r="G20" s="53">
        <f>F20+5</f>
        <v>25</v>
      </c>
      <c r="H20" s="53">
        <f aca="true" t="shared" si="3" ref="H20:N20">G20+5</f>
        <v>30</v>
      </c>
      <c r="I20" s="53">
        <f t="shared" si="3"/>
        <v>35</v>
      </c>
      <c r="J20" s="53">
        <f t="shared" si="3"/>
        <v>40</v>
      </c>
      <c r="K20" s="53">
        <f t="shared" si="3"/>
        <v>45</v>
      </c>
      <c r="L20" s="53">
        <f t="shared" si="3"/>
        <v>50</v>
      </c>
      <c r="M20" s="53">
        <f t="shared" si="3"/>
        <v>55</v>
      </c>
      <c r="N20" s="54">
        <f t="shared" si="3"/>
        <v>60</v>
      </c>
    </row>
    <row r="21" spans="1:14" s="126" customFormat="1" ht="12.75">
      <c r="A21" s="214" t="s">
        <v>154</v>
      </c>
      <c r="B21" s="211">
        <v>1</v>
      </c>
      <c r="C21" s="167">
        <f aca="true" t="shared" si="4" ref="C21:N21">KgPerLb*E^2*P^2*0.00431*C$3^2/(SQRT(P^2+E^2)*(E-X))*tp</f>
        <v>22.625686775366518</v>
      </c>
      <c r="D21" s="168">
        <f t="shared" si="4"/>
        <v>90.50274710146607</v>
      </c>
      <c r="E21" s="168">
        <f t="shared" si="4"/>
        <v>203.6311809782987</v>
      </c>
      <c r="F21" s="270">
        <f t="shared" si="4"/>
        <v>362.0109884058643</v>
      </c>
      <c r="G21" s="270">
        <f t="shared" si="4"/>
        <v>565.642169384163</v>
      </c>
      <c r="H21" s="270">
        <f t="shared" si="4"/>
        <v>814.5247239131947</v>
      </c>
      <c r="I21" s="270">
        <f t="shared" si="4"/>
        <v>1108.6586519929594</v>
      </c>
      <c r="J21" s="270">
        <f t="shared" si="4"/>
        <v>1448.0439536234571</v>
      </c>
      <c r="K21" s="270">
        <f t="shared" si="4"/>
        <v>1832.6806288046882</v>
      </c>
      <c r="L21" s="270">
        <f t="shared" si="4"/>
        <v>2262.568677536652</v>
      </c>
      <c r="M21" s="270">
        <f t="shared" si="4"/>
        <v>2737.7080998193487</v>
      </c>
      <c r="N21" s="271">
        <f t="shared" si="4"/>
        <v>3258.098895652779</v>
      </c>
    </row>
    <row r="22" spans="1:14" s="126" customFormat="1" ht="15" customHeight="1">
      <c r="A22" s="214" t="s">
        <v>171</v>
      </c>
      <c r="B22" s="212">
        <v>0.75</v>
      </c>
      <c r="C22" s="260">
        <f aca="true" t="shared" si="5" ref="C22:N22">KgPerLb*E_2^2*P_2^2*0.00431*C$3^2/(SQRT(P_2^2+E_2^2)*(E_2-X_2))*tp</f>
        <v>14.695814644152765</v>
      </c>
      <c r="D22" s="261">
        <f t="shared" si="5"/>
        <v>58.78325857661106</v>
      </c>
      <c r="E22" s="178">
        <f t="shared" si="5"/>
        <v>132.26233179737488</v>
      </c>
      <c r="F22" s="178">
        <f t="shared" si="5"/>
        <v>235.13303430644424</v>
      </c>
      <c r="G22" s="178">
        <f t="shared" si="5"/>
        <v>367.39536610381913</v>
      </c>
      <c r="H22" s="178">
        <f t="shared" si="5"/>
        <v>529.0493271894995</v>
      </c>
      <c r="I22" s="261">
        <f t="shared" si="5"/>
        <v>720.0949175634855</v>
      </c>
      <c r="J22" s="261">
        <f t="shared" si="5"/>
        <v>940.532137225777</v>
      </c>
      <c r="K22" s="261">
        <f t="shared" si="5"/>
        <v>1190.360986176374</v>
      </c>
      <c r="L22" s="261">
        <f t="shared" si="5"/>
        <v>1469.5814644152765</v>
      </c>
      <c r="M22" s="261">
        <f t="shared" si="5"/>
        <v>1778.1935719424846</v>
      </c>
      <c r="N22" s="269">
        <f t="shared" si="5"/>
        <v>2116.197308757998</v>
      </c>
    </row>
    <row r="23" spans="1:14" s="126" customFormat="1" ht="14.25">
      <c r="A23" s="214" t="s">
        <v>172</v>
      </c>
      <c r="B23" s="212">
        <f>197/393</f>
        <v>0.5012722646310432</v>
      </c>
      <c r="C23" s="260">
        <f aca="true" t="shared" si="6" ref="C23:N23">KgPerLb*E_3^2*P_3^2*0.00431*C$3^2/(SQRT(P_3^2+E_3^2)*(E_3-X_3))*tp</f>
        <v>8.029939704418219</v>
      </c>
      <c r="D23" s="261">
        <f t="shared" si="6"/>
        <v>32.119758817672874</v>
      </c>
      <c r="E23" s="261">
        <f t="shared" si="6"/>
        <v>72.26945733976397</v>
      </c>
      <c r="F23" s="261">
        <f t="shared" si="6"/>
        <v>128.4790352706915</v>
      </c>
      <c r="G23" s="261">
        <f t="shared" si="6"/>
        <v>200.74849261045546</v>
      </c>
      <c r="H23" s="178">
        <f t="shared" si="6"/>
        <v>289.0778293590559</v>
      </c>
      <c r="I23" s="178">
        <f t="shared" si="6"/>
        <v>393.4670455164927</v>
      </c>
      <c r="J23" s="178">
        <f t="shared" si="6"/>
        <v>513.916141082766</v>
      </c>
      <c r="K23" s="261">
        <f t="shared" si="6"/>
        <v>650.4251160578758</v>
      </c>
      <c r="L23" s="261">
        <f t="shared" si="6"/>
        <v>802.9939704418218</v>
      </c>
      <c r="M23" s="261">
        <f t="shared" si="6"/>
        <v>971.6227042346046</v>
      </c>
      <c r="N23" s="269">
        <f t="shared" si="6"/>
        <v>1156.3113174362236</v>
      </c>
    </row>
    <row r="24" spans="1:14" s="126" customFormat="1" ht="13.5" thickBot="1">
      <c r="A24" s="215" t="s">
        <v>155</v>
      </c>
      <c r="B24" s="213">
        <f>110/393</f>
        <v>0.27989821882951654</v>
      </c>
      <c r="C24" s="272">
        <f aca="true" t="shared" si="7" ref="C24:N24">KgPerLb*E_4^2*P_4^2*0.00431*C$3^2/(SQRT(P_4^2+E_4^2)*(E_4-X_4))*tp</f>
        <v>3.3504409857886355</v>
      </c>
      <c r="D24" s="273">
        <f t="shared" si="7"/>
        <v>13.401763943154542</v>
      </c>
      <c r="E24" s="273">
        <f t="shared" si="7"/>
        <v>30.153968872097714</v>
      </c>
      <c r="F24" s="273">
        <f t="shared" si="7"/>
        <v>53.60705577261817</v>
      </c>
      <c r="G24" s="273">
        <f t="shared" si="7"/>
        <v>83.76102464471587</v>
      </c>
      <c r="H24" s="273">
        <f t="shared" si="7"/>
        <v>120.61587548839086</v>
      </c>
      <c r="I24" s="273">
        <f t="shared" si="7"/>
        <v>164.1716083036431</v>
      </c>
      <c r="J24" s="14">
        <f t="shared" si="7"/>
        <v>214.42822309047267</v>
      </c>
      <c r="K24" s="14">
        <f t="shared" si="7"/>
        <v>271.38571984887943</v>
      </c>
      <c r="L24" s="14">
        <f t="shared" si="7"/>
        <v>335.0440985788635</v>
      </c>
      <c r="M24" s="14">
        <f t="shared" si="7"/>
        <v>405.40335928042487</v>
      </c>
      <c r="N24" s="17">
        <f t="shared" si="7"/>
        <v>482.4635019535634</v>
      </c>
    </row>
    <row r="25" spans="1:8" ht="19.5" customHeight="1">
      <c r="A25" s="262" t="s">
        <v>151</v>
      </c>
      <c r="B25" s="262"/>
      <c r="C25" s="262"/>
      <c r="D25" s="262"/>
      <c r="E25" s="262"/>
      <c r="F25" s="262"/>
      <c r="G25" s="262"/>
      <c r="H25" s="262"/>
    </row>
    <row r="26" spans="1:8" ht="19.5" customHeight="1">
      <c r="A26" s="263" t="s">
        <v>153</v>
      </c>
      <c r="B26" s="263"/>
      <c r="C26" s="263"/>
      <c r="D26" s="263"/>
      <c r="E26" s="263"/>
      <c r="F26" s="263"/>
      <c r="G26" s="263"/>
      <c r="H26" s="263"/>
    </row>
    <row r="27" spans="1:8" ht="15.75" customHeight="1">
      <c r="A27" s="262" t="s">
        <v>160</v>
      </c>
      <c r="B27" s="262"/>
      <c r="C27" s="262"/>
      <c r="D27" s="262"/>
      <c r="E27" s="262"/>
      <c r="F27" s="262"/>
      <c r="G27" s="262"/>
      <c r="H27" s="262"/>
    </row>
    <row r="28" ht="13.5" thickBot="1"/>
    <row r="29" spans="1:14" ht="24" thickBot="1">
      <c r="A29" s="305" t="s">
        <v>178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7"/>
    </row>
    <row r="30" spans="1:14" ht="36.75" customHeight="1" thickBot="1">
      <c r="A30" s="308"/>
      <c r="B30" s="310" t="s">
        <v>180</v>
      </c>
      <c r="C30" s="312" t="str">
        <f>CONCATENATE("Max ",C19)</f>
        <v>Max Load (lbs.) for Apparent Wind (Knots)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4"/>
    </row>
    <row r="31" spans="1:14" ht="18.75" customHeight="1" thickBot="1">
      <c r="A31" s="309"/>
      <c r="B31" s="311"/>
      <c r="C31" s="246">
        <v>5</v>
      </c>
      <c r="D31" s="247">
        <f>C31+5</f>
        <v>10</v>
      </c>
      <c r="E31" s="248">
        <f>D31+5</f>
        <v>15</v>
      </c>
      <c r="F31" s="246">
        <f>E31+5</f>
        <v>20</v>
      </c>
      <c r="G31" s="247">
        <f>F31+5</f>
        <v>25</v>
      </c>
      <c r="H31" s="248">
        <f aca="true" t="shared" si="8" ref="H31:N31">G31+5</f>
        <v>30</v>
      </c>
      <c r="I31" s="246">
        <f t="shared" si="8"/>
        <v>35</v>
      </c>
      <c r="J31" s="247">
        <f t="shared" si="8"/>
        <v>40</v>
      </c>
      <c r="K31" s="248">
        <f t="shared" si="8"/>
        <v>45</v>
      </c>
      <c r="L31" s="246">
        <f t="shared" si="8"/>
        <v>50</v>
      </c>
      <c r="M31" s="247">
        <f t="shared" si="8"/>
        <v>55</v>
      </c>
      <c r="N31" s="248">
        <f t="shared" si="8"/>
        <v>60</v>
      </c>
    </row>
    <row r="32" spans="1:14" ht="13.5" thickBot="1">
      <c r="A32" s="244" t="s">
        <v>185</v>
      </c>
      <c r="B32" s="245"/>
      <c r="C32" s="302" t="s">
        <v>182</v>
      </c>
      <c r="D32" s="303"/>
      <c r="E32" s="304"/>
      <c r="F32" s="302" t="s">
        <v>181</v>
      </c>
      <c r="G32" s="303"/>
      <c r="H32" s="304"/>
      <c r="I32" s="302" t="s">
        <v>183</v>
      </c>
      <c r="J32" s="303"/>
      <c r="K32" s="304"/>
      <c r="L32" s="302" t="s">
        <v>184</v>
      </c>
      <c r="M32" s="303"/>
      <c r="N32" s="304"/>
    </row>
    <row r="33" spans="1:14" ht="13.5" thickBot="1">
      <c r="A33" s="242" t="s">
        <v>186</v>
      </c>
      <c r="B33" s="243">
        <v>0.5</v>
      </c>
      <c r="C33" s="249">
        <f>KgPerLb*C21*$B$33</f>
        <v>11.312843387683259</v>
      </c>
      <c r="D33" s="250">
        <f>KgPerLb*D21*$B$33</f>
        <v>45.251373550733035</v>
      </c>
      <c r="E33" s="251">
        <f>KgPerLb*E21*$B$33</f>
        <v>101.81559048914934</v>
      </c>
      <c r="F33" s="249">
        <f>KgPerLb*F22*$B$33</f>
        <v>117.56651715322212</v>
      </c>
      <c r="G33" s="250">
        <f>KgPerLb*G22*$B$33</f>
        <v>183.69768305190956</v>
      </c>
      <c r="H33" s="251">
        <f>KgPerLb*H22*$B$33</f>
        <v>264.52466359474977</v>
      </c>
      <c r="I33" s="249">
        <f>KgPerLb*I23*$B$33</f>
        <v>196.73352275824635</v>
      </c>
      <c r="J33" s="250">
        <f>KgPerLb*J23*$B$33</f>
        <v>256.958070541383</v>
      </c>
      <c r="K33" s="251">
        <f>KgPerLb*K23*$B$33</f>
        <v>325.2125580289379</v>
      </c>
      <c r="L33" s="249">
        <f>KgPerLb*L24*$B$33</f>
        <v>167.52204928943175</v>
      </c>
      <c r="M33" s="250">
        <f>KgPerLb*M24*$B$33</f>
        <v>202.70167964021243</v>
      </c>
      <c r="N33" s="251">
        <f>KgPerLb*N24*$B$33</f>
        <v>241.2317509767817</v>
      </c>
    </row>
  </sheetData>
  <sheetProtection/>
  <mergeCells count="20">
    <mergeCell ref="A27:H27"/>
    <mergeCell ref="A25:H25"/>
    <mergeCell ref="A2:A3"/>
    <mergeCell ref="C2:N2"/>
    <mergeCell ref="A9:H9"/>
    <mergeCell ref="A10:H10"/>
    <mergeCell ref="A26:H26"/>
    <mergeCell ref="A18:N18"/>
    <mergeCell ref="A1:N1"/>
    <mergeCell ref="A19:A20"/>
    <mergeCell ref="C19:N19"/>
    <mergeCell ref="B19:B20"/>
    <mergeCell ref="A29:N29"/>
    <mergeCell ref="A30:A31"/>
    <mergeCell ref="B30:B31"/>
    <mergeCell ref="C30:N30"/>
    <mergeCell ref="C32:E32"/>
    <mergeCell ref="F32:H32"/>
    <mergeCell ref="I32:K32"/>
    <mergeCell ref="L32:N32"/>
  </mergeCells>
  <conditionalFormatting sqref="C24:I24">
    <cfRule type="expression" priority="1" dxfId="1" stopIfTrue="1">
      <formula>C24&gt;MaxHandleLoad</formula>
    </cfRule>
  </conditionalFormatting>
  <dataValidations count="4">
    <dataValidation type="decimal" allowBlank="1" showInputMessage="1" showErrorMessage="1" sqref="B21 B33">
      <formula1>0.2</formula1>
      <formula2>1</formula2>
    </dataValidation>
    <dataValidation type="decimal" allowBlank="1" showInputMessage="1" showErrorMessage="1" prompt="Enter Percentage of Mainsail Area" errorTitle="Select Mainsail Area as %" error="Enter the percentage of the mainsail area that corresponds to the reefing point." sqref="B22:B24">
      <formula1>0.2</formula1>
      <formula2>0.85</formula2>
    </dataValidation>
    <dataValidation type="whole" allowBlank="1" showInputMessage="1" showErrorMessage="1" promptTitle="Sail Area" prompt="Enter Sail Area in Square Feet" errorTitle="Sail Area" error="Sail area is a whole number&#10;" sqref="B4:B8">
      <formula1>200</formula1>
      <formula2>2000</formula2>
    </dataValidation>
    <dataValidation type="list" showInputMessage="1" showErrorMessage="1" sqref="B16">
      <formula1>$P$4:$P$11</formula1>
    </dataValidation>
  </dataValidations>
  <hyperlinks>
    <hyperlink ref="A10:H10" r:id="rId1" display="Formula Source: Harken (http://www.harken.com/blocks/loads.pdf)"/>
    <hyperlink ref="A26:H26" r:id="rId2" display="Formula Source: Harken (http://www.harken.com/blocks/loads.pdf)"/>
  </hyperlinks>
  <printOptions/>
  <pageMargins left="0.75" right="0.75" top="1" bottom="1" header="0.5" footer="0.5"/>
  <pageSetup horizontalDpi="600" verticalDpi="600" orientation="landscape" scale="95" r:id="rId4"/>
  <headerFooter alignWithMargins="0">
    <oddFooter>&amp;CPage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6"/>
  <sheetViews>
    <sheetView workbookViewId="0" topLeftCell="A10">
      <selection activeCell="D13" sqref="D12:D13"/>
    </sheetView>
  </sheetViews>
  <sheetFormatPr defaultColWidth="9.140625" defaultRowHeight="12.75"/>
  <cols>
    <col min="1" max="1" width="24.140625" style="7" customWidth="1"/>
    <col min="2" max="2" width="9.7109375" style="7" customWidth="1"/>
    <col min="3" max="3" width="9.28125" style="7" bestFit="1" customWidth="1"/>
    <col min="4" max="15" width="8.140625" style="7" customWidth="1"/>
    <col min="16" max="16384" width="9.140625" style="7" customWidth="1"/>
  </cols>
  <sheetData>
    <row r="1" spans="1:15" s="95" customFormat="1" ht="24.75" customHeight="1">
      <c r="A1" s="253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3" ht="30" customHeight="1">
      <c r="A2" s="323" t="s">
        <v>175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2" ht="12.75">
      <c r="A3" s="58" t="s">
        <v>81</v>
      </c>
      <c r="B3" s="226">
        <v>10</v>
      </c>
    </row>
    <row r="4" spans="1:9" ht="12.75">
      <c r="A4" s="59" t="s">
        <v>120</v>
      </c>
      <c r="B4" s="226">
        <v>30</v>
      </c>
      <c r="C4" s="324" t="s">
        <v>118</v>
      </c>
      <c r="D4" s="324"/>
      <c r="E4" s="324"/>
      <c r="F4" s="324"/>
      <c r="G4" s="324"/>
      <c r="H4" s="324"/>
      <c r="I4" s="324"/>
    </row>
    <row r="5" spans="1:13" ht="12.75">
      <c r="A5" s="59" t="s">
        <v>166</v>
      </c>
      <c r="B5" s="227">
        <v>0.2</v>
      </c>
      <c r="C5" s="326" t="s">
        <v>167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0" ht="12.75">
      <c r="A6" s="324" t="s">
        <v>119</v>
      </c>
      <c r="B6" s="324"/>
      <c r="C6" s="324"/>
      <c r="D6" s="324"/>
      <c r="E6" s="324"/>
      <c r="F6" s="324"/>
      <c r="G6" s="324"/>
      <c r="H6" s="324"/>
      <c r="I6" s="324"/>
      <c r="J6" s="228">
        <v>75</v>
      </c>
    </row>
    <row r="7" spans="1:10" ht="12.75">
      <c r="A7" s="327" t="s">
        <v>176</v>
      </c>
      <c r="B7" s="327"/>
      <c r="C7" s="327"/>
      <c r="D7" s="327"/>
      <c r="E7" s="327"/>
      <c r="F7" s="327"/>
      <c r="G7" s="327"/>
      <c r="H7" s="327"/>
      <c r="I7" s="327"/>
      <c r="J7" s="229">
        <v>114</v>
      </c>
    </row>
    <row r="8" ht="4.5" customHeight="1" thickBot="1"/>
    <row r="9" spans="1:15" ht="24" thickBot="1">
      <c r="A9" s="305" t="s">
        <v>156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7"/>
    </row>
    <row r="10" ht="5.25" customHeight="1" thickBot="1"/>
    <row r="11" spans="1:15" ht="15" customHeight="1">
      <c r="A11" s="319" t="s">
        <v>0</v>
      </c>
      <c r="B11" s="321" t="s">
        <v>5</v>
      </c>
      <c r="C11" s="19" t="s">
        <v>43</v>
      </c>
      <c r="D11" s="254" t="s">
        <v>69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6"/>
    </row>
    <row r="12" spans="1:15" ht="27" customHeight="1" thickBot="1">
      <c r="A12" s="320"/>
      <c r="B12" s="325"/>
      <c r="C12" s="20" t="s">
        <v>17</v>
      </c>
      <c r="D12" s="10">
        <v>5</v>
      </c>
      <c r="E12" s="11">
        <f aca="true" t="shared" si="0" ref="E12:O12">D12+5</f>
        <v>10</v>
      </c>
      <c r="F12" s="11">
        <f t="shared" si="0"/>
        <v>15</v>
      </c>
      <c r="G12" s="11">
        <f t="shared" si="0"/>
        <v>20</v>
      </c>
      <c r="H12" s="11">
        <f t="shared" si="0"/>
        <v>25</v>
      </c>
      <c r="I12" s="11">
        <f t="shared" si="0"/>
        <v>30</v>
      </c>
      <c r="J12" s="11">
        <f t="shared" si="0"/>
        <v>35</v>
      </c>
      <c r="K12" s="11">
        <f t="shared" si="0"/>
        <v>40</v>
      </c>
      <c r="L12" s="11">
        <f t="shared" si="0"/>
        <v>45</v>
      </c>
      <c r="M12" s="11">
        <f t="shared" si="0"/>
        <v>50</v>
      </c>
      <c r="N12" s="11">
        <f t="shared" si="0"/>
        <v>55</v>
      </c>
      <c r="O12" s="12">
        <f t="shared" si="0"/>
        <v>60</v>
      </c>
    </row>
    <row r="13" spans="1:15" ht="12.75">
      <c r="A13" s="43" t="str">
        <f>'Vessel Sheet Loads'!$A$4</f>
        <v>Furling Genoa</v>
      </c>
      <c r="B13" s="86" t="str">
        <f>'Select Winches'!$B$8</f>
        <v>52ST</v>
      </c>
      <c r="C13" s="50">
        <f aca="true" t="shared" si="1" ref="C13:C18">VLOOKUP(B13,AndersonSpecs,4)*2*LenHandle/VLOOKUP(B13,AndersonSpecs,10)</f>
        <v>16.256</v>
      </c>
      <c r="D13" s="222">
        <f>(1-FrictionLosses)*'Vessel Sheet Loads'!$C$4/$C13</f>
        <v>2.5431545275590555</v>
      </c>
      <c r="E13" s="55">
        <f>ROUND((1-FrictionLosses)*'Vessel Sheet Loads'!$D$4/$C13,0)</f>
        <v>10</v>
      </c>
      <c r="F13" s="55">
        <f>ROUND((1-FrictionLosses)*'Vessel Sheet Loads'!$E$4/$C13,0)</f>
        <v>23</v>
      </c>
      <c r="G13" s="55">
        <f>ROUND((1-FrictionLosses)*'Vessel Sheet Loads'!$F$4/$C13,0)</f>
        <v>41</v>
      </c>
      <c r="H13" s="56">
        <f>ROUND((1-FrictionLosses)*'Vessel Sheet Loads'!$G$4/$C13,0)</f>
        <v>64</v>
      </c>
      <c r="I13" s="56">
        <f>ROUND((1-FrictionLosses)*'Vessel Sheet Loads'!$H$4/$C13,0)</f>
        <v>92</v>
      </c>
      <c r="J13" s="56">
        <f>ROUND((1-FrictionLosses)*'Vessel Sheet Loads'!$I$4/$C13,0)</f>
        <v>125</v>
      </c>
      <c r="K13" s="56">
        <f>ROUND((1-FrictionLosses)*'Vessel Sheet Loads'!$J$4/$C13,0)</f>
        <v>163</v>
      </c>
      <c r="L13" s="56">
        <f>ROUND((1-FrictionLosses)*'Vessel Sheet Loads'!$K$4/$C13,0)</f>
        <v>206</v>
      </c>
      <c r="M13" s="56">
        <f>ROUND((1-FrictionLosses)*'Vessel Sheet Loads'!$L$4/$C13,0)</f>
        <v>254</v>
      </c>
      <c r="N13" s="56">
        <f>ROUND((1-FrictionLosses)*'Vessel Sheet Loads'!$M$4/$C13,0)</f>
        <v>308</v>
      </c>
      <c r="O13" s="57">
        <f>ROUND((1-FrictionLosses)*'Vessel Sheet Loads'!$N$4/$C13,0)</f>
        <v>366</v>
      </c>
    </row>
    <row r="14" spans="1:15" ht="12.75">
      <c r="A14" s="43" t="str">
        <f>'Vessel Sheet Loads'!$A$5</f>
        <v>Genoa Part Furled (100%)</v>
      </c>
      <c r="B14" s="87" t="str">
        <f>'Select Winches'!$B$8</f>
        <v>52ST</v>
      </c>
      <c r="C14" s="90">
        <f t="shared" si="1"/>
        <v>16.256</v>
      </c>
      <c r="D14" s="48">
        <f>(1-FrictionLosses)*'Vessel Sheet Loads'!$C$5/$C14</f>
        <v>2.0415231299212597</v>
      </c>
      <c r="E14" s="44">
        <f>ROUND((1-FrictionLosses)*'Vessel Sheet Loads'!$D$5/$C14,0)</f>
        <v>8</v>
      </c>
      <c r="F14" s="13">
        <f>ROUND((1-FrictionLosses)*'Vessel Sheet Loads'!$E$5/$C14,0)</f>
        <v>18</v>
      </c>
      <c r="G14" s="13">
        <f>ROUND((1-FrictionLosses)*'Vessel Sheet Loads'!$F$5/$C14,0)</f>
        <v>33</v>
      </c>
      <c r="H14" s="13">
        <f>ROUND((1-FrictionLosses)*'Vessel Sheet Loads'!$G$5/$C14,0)</f>
        <v>51</v>
      </c>
      <c r="I14" s="13">
        <f>ROUND((1-FrictionLosses)*'Vessel Sheet Loads'!$H$5/$C14,0)</f>
        <v>73</v>
      </c>
      <c r="J14" s="44">
        <f>ROUND((1-FrictionLosses)*'Vessel Sheet Loads'!$I$5/$C14,0)</f>
        <v>100</v>
      </c>
      <c r="K14" s="44">
        <f>ROUND((1-FrictionLosses)*'Vessel Sheet Loads'!$J$5/$C14,0)</f>
        <v>131</v>
      </c>
      <c r="L14" s="44">
        <f>ROUND((1-FrictionLosses)*'Vessel Sheet Loads'!$K$5/$C14,0)</f>
        <v>165</v>
      </c>
      <c r="M14" s="44">
        <f>ROUND((1-FrictionLosses)*'Vessel Sheet Loads'!$L$5/$C14,0)</f>
        <v>204</v>
      </c>
      <c r="N14" s="44">
        <f>ROUND((1-FrictionLosses)*'Vessel Sheet Loads'!$M$5/$C14,0)</f>
        <v>247</v>
      </c>
      <c r="O14" s="45">
        <f>ROUND((1-FrictionLosses)*'Vessel Sheet Loads'!$N$5/$C14,0)</f>
        <v>294</v>
      </c>
    </row>
    <row r="15" spans="1:15" ht="12.75">
      <c r="A15" s="43" t="str">
        <f>'Vessel Sheet Loads'!$A$6</f>
        <v>Working Staysail</v>
      </c>
      <c r="B15" s="87" t="str">
        <f>'Select Winches'!$B$9</f>
        <v>40ST</v>
      </c>
      <c r="C15" s="90">
        <f t="shared" si="1"/>
        <v>8.689473684210526</v>
      </c>
      <c r="D15" s="48">
        <f>(1-FrictionLosses)*'Vessel Sheet Loads'!$C$6/$C15</f>
        <v>1.5872077528770443</v>
      </c>
      <c r="E15" s="13">
        <f>ROUND((1-FrictionLosses)*'Vessel Sheet Loads'!$D$6/$C15,0)</f>
        <v>6</v>
      </c>
      <c r="F15" s="13">
        <f>ROUND((1-FrictionLosses)*'Vessel Sheet Loads'!$E$6/$C15,0)</f>
        <v>14</v>
      </c>
      <c r="G15" s="13">
        <f>ROUND((1-FrictionLosses)*'Vessel Sheet Loads'!$F$6/$C15,0)</f>
        <v>25</v>
      </c>
      <c r="H15" s="13">
        <f>ROUND((1-FrictionLosses)*'Vessel Sheet Loads'!$G$6/$C15,0)</f>
        <v>40</v>
      </c>
      <c r="I15" s="13">
        <f>ROUND((1-FrictionLosses)*'Vessel Sheet Loads'!$H$6/$C15,0)</f>
        <v>57</v>
      </c>
      <c r="J15" s="13">
        <f>ROUND((1-FrictionLosses)*'Vessel Sheet Loads'!$I$6/$C15,0)</f>
        <v>78</v>
      </c>
      <c r="K15" s="13">
        <f>ROUND((1-FrictionLosses)*'Vessel Sheet Loads'!$J$6/$C15,0)</f>
        <v>102</v>
      </c>
      <c r="L15" s="44">
        <f>ROUND((1-FrictionLosses)*'Vessel Sheet Loads'!$K$6/$C15,0)</f>
        <v>129</v>
      </c>
      <c r="M15" s="44">
        <f>ROUND((1-FrictionLosses)*'Vessel Sheet Loads'!$L$6/$C15,0)</f>
        <v>159</v>
      </c>
      <c r="N15" s="44">
        <f>ROUND((1-FrictionLosses)*'Vessel Sheet Loads'!$M$6/$C15,0)</f>
        <v>192</v>
      </c>
      <c r="O15" s="45">
        <f>ROUND((1-FrictionLosses)*'Vessel Sheet Loads'!$N$6/$C15,0)</f>
        <v>229</v>
      </c>
    </row>
    <row r="16" spans="1:15" ht="12.75">
      <c r="A16" s="43" t="str">
        <f>'Vessel Sheet Loads'!$A$7</f>
        <v>Storm Staysail</v>
      </c>
      <c r="B16" s="87" t="str">
        <f>'Select Winches'!$B$9</f>
        <v>40ST</v>
      </c>
      <c r="C16" s="90">
        <f t="shared" si="1"/>
        <v>8.689473684210526</v>
      </c>
      <c r="D16" s="48">
        <f>(1-FrictionLosses)*'Vessel Sheet Loads'!$C$7/$C16</f>
        <v>1.1408055723803756</v>
      </c>
      <c r="E16" s="44">
        <f>ROUND((1-FrictionLosses)*'Vessel Sheet Loads'!$D$7/$C16,0)</f>
        <v>5</v>
      </c>
      <c r="F16" s="44">
        <f>ROUND((1-FrictionLosses)*'Vessel Sheet Loads'!$E$7/$C16,0)</f>
        <v>10</v>
      </c>
      <c r="G16" s="44">
        <f>ROUND((1-FrictionLosses)*'Vessel Sheet Loads'!$F$7/$C16,0)</f>
        <v>18</v>
      </c>
      <c r="H16" s="44">
        <f>ROUND((1-FrictionLosses)*'Vessel Sheet Loads'!$G$7/$C16,0)</f>
        <v>29</v>
      </c>
      <c r="I16" s="13">
        <f>ROUND((1-FrictionLosses)*'Vessel Sheet Loads'!$H$7/$C16,0)</f>
        <v>41</v>
      </c>
      <c r="J16" s="13">
        <f>ROUND((1-FrictionLosses)*'Vessel Sheet Loads'!$I$7/$C16,0)</f>
        <v>56</v>
      </c>
      <c r="K16" s="13">
        <f>ROUND((1-FrictionLosses)*'Vessel Sheet Loads'!$J$7/$C16,0)</f>
        <v>73</v>
      </c>
      <c r="L16" s="13">
        <f>ROUND((1-FrictionLosses)*'Vessel Sheet Loads'!$K$7/$C16,0)</f>
        <v>92</v>
      </c>
      <c r="M16" s="44">
        <f>ROUND((1-FrictionLosses)*'Vessel Sheet Loads'!$L$7/$C16,0)</f>
        <v>114</v>
      </c>
      <c r="N16" s="44">
        <f>ROUND((1-FrictionLosses)*'Vessel Sheet Loads'!$M$7/$C16,0)</f>
        <v>138</v>
      </c>
      <c r="O16" s="45">
        <f>ROUND((1-FrictionLosses)*'Vessel Sheet Loads'!$N$7/$C16,0)</f>
        <v>164</v>
      </c>
    </row>
    <row r="17" spans="1:15" ht="12.75">
      <c r="A17" s="43" t="str">
        <f>'Vessel Sheet Loads'!$A$8</f>
        <v>Asym. Cr. Spinnaker</v>
      </c>
      <c r="B17" s="87" t="str">
        <f>'Select Winches'!$B$8</f>
        <v>52ST</v>
      </c>
      <c r="C17" s="90">
        <f t="shared" si="1"/>
        <v>16.256</v>
      </c>
      <c r="D17" s="223">
        <f>(1-FrictionLosses)*'Vessel Sheet Loads'!$C$8/$C17</f>
        <v>6.866941437007874</v>
      </c>
      <c r="E17" s="13">
        <f>ROUND((1-FrictionLosses)*'Vessel Sheet Loads'!$D$8/$C17,0)</f>
        <v>27</v>
      </c>
      <c r="F17" s="13">
        <f>ROUND((1-FrictionLosses)*'Vessel Sheet Loads'!$E$8/$C17,0)</f>
        <v>62</v>
      </c>
      <c r="G17" s="44">
        <f>ROUND((1-FrictionLosses)*'Vessel Sheet Loads'!$F$8/$C17,0)</f>
        <v>110</v>
      </c>
      <c r="H17" s="44">
        <f>ROUND((1-FrictionLosses)*'Vessel Sheet Loads'!$G$8/$C17,0)</f>
        <v>172</v>
      </c>
      <c r="I17" s="44">
        <f>ROUND((1-FrictionLosses)*'Vessel Sheet Loads'!$H$8/$C17,0)</f>
        <v>247</v>
      </c>
      <c r="J17" s="44">
        <f>ROUND((1-FrictionLosses)*'Vessel Sheet Loads'!$I$8/$C17,0)</f>
        <v>336</v>
      </c>
      <c r="K17" s="44">
        <f>ROUND((1-FrictionLosses)*'Vessel Sheet Loads'!$J$8/$C17,0)</f>
        <v>439</v>
      </c>
      <c r="L17" s="44">
        <f>ROUND((1-FrictionLosses)*'Vessel Sheet Loads'!$K$8/$C17,0)</f>
        <v>556</v>
      </c>
      <c r="M17" s="44">
        <f>ROUND((1-FrictionLosses)*'Vessel Sheet Loads'!$L$8/$C17,0)</f>
        <v>687</v>
      </c>
      <c r="N17" s="44">
        <f>ROUND((1-FrictionLosses)*'Vessel Sheet Loads'!$M$8/$C17,0)</f>
        <v>831</v>
      </c>
      <c r="O17" s="45">
        <f>ROUND((1-FrictionLosses)*'Vessel Sheet Loads'!$N$8/$C17,0)</f>
        <v>989</v>
      </c>
    </row>
    <row r="18" spans="1:15" ht="13.5" thickBot="1">
      <c r="A18" s="46" t="str">
        <f>'Vessel Sheet Loads'!$A$24</f>
        <v>Storm Trysail / Third Reef</v>
      </c>
      <c r="B18" s="88" t="str">
        <f>'Select Winches'!$B$8</f>
        <v>52ST</v>
      </c>
      <c r="C18" s="91">
        <f t="shared" si="1"/>
        <v>16.256</v>
      </c>
      <c r="D18" s="47">
        <f>(1-FrictionLosses)*'Vessel Sheet Loads'!$C$24/$C18</f>
        <v>0.1648839067809368</v>
      </c>
      <c r="E18" s="47">
        <f>ROUND((1-FrictionLosses)*'Vessel Sheet Loads'!$D$24/$C18,0)</f>
        <v>1</v>
      </c>
      <c r="F18" s="47">
        <f>ROUND((1-FrictionLosses)*'Vessel Sheet Loads'!$E$24/$C18,0)</f>
        <v>1</v>
      </c>
      <c r="G18" s="47">
        <f>ROUND((1-FrictionLosses)*'Vessel Sheet Loads'!$F$24/$C18,0)</f>
        <v>3</v>
      </c>
      <c r="H18" s="47">
        <f>ROUND((1-FrictionLosses)*'Vessel Sheet Loads'!$G$24/$C18,0)</f>
        <v>4</v>
      </c>
      <c r="I18" s="47">
        <f>ROUND((1-FrictionLosses)*'Vessel Sheet Loads'!$H$24/$C18,0)</f>
        <v>6</v>
      </c>
      <c r="J18" s="47">
        <f>ROUND((1-FrictionLosses)*'Vessel Sheet Loads'!$I$24/$C18,0)</f>
        <v>8</v>
      </c>
      <c r="K18" s="14">
        <f>ROUND((1-FrictionLosses)*'Vessel Sheet Loads'!$J$24/$C18,0)</f>
        <v>11</v>
      </c>
      <c r="L18" s="14">
        <f>ROUND((1-FrictionLosses)*'Vessel Sheet Loads'!$K$24/$C18,0)</f>
        <v>13</v>
      </c>
      <c r="M18" s="14">
        <f>ROUND((1-FrictionLosses)*'Vessel Sheet Loads'!$L$24/$C18,0)</f>
        <v>16</v>
      </c>
      <c r="N18" s="14">
        <f>ROUND((1-FrictionLosses)*'Vessel Sheet Loads'!$M$24/$C18,0)</f>
        <v>20</v>
      </c>
      <c r="O18" s="14">
        <f>ROUND((1-FrictionLosses)*'Vessel Sheet Loads'!$N$24/$C18,0)</f>
        <v>24</v>
      </c>
    </row>
    <row r="19" ht="13.5" thickBot="1">
      <c r="C19" s="18"/>
    </row>
    <row r="20" spans="1:15" ht="15" customHeight="1">
      <c r="A20" s="319" t="s">
        <v>0</v>
      </c>
      <c r="B20" s="321" t="s">
        <v>5</v>
      </c>
      <c r="C20" s="16" t="s">
        <v>43</v>
      </c>
      <c r="D20" s="254" t="s">
        <v>68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6"/>
    </row>
    <row r="21" spans="1:15" ht="27.75" customHeight="1" thickBot="1">
      <c r="A21" s="320"/>
      <c r="B21" s="325"/>
      <c r="C21" s="89" t="s">
        <v>17</v>
      </c>
      <c r="D21" s="52">
        <v>5</v>
      </c>
      <c r="E21" s="53">
        <f aca="true" t="shared" si="2" ref="E21:O21">D21+5</f>
        <v>10</v>
      </c>
      <c r="F21" s="53">
        <f t="shared" si="2"/>
        <v>15</v>
      </c>
      <c r="G21" s="53">
        <f t="shared" si="2"/>
        <v>20</v>
      </c>
      <c r="H21" s="53">
        <f t="shared" si="2"/>
        <v>25</v>
      </c>
      <c r="I21" s="53">
        <f t="shared" si="2"/>
        <v>30</v>
      </c>
      <c r="J21" s="53">
        <f t="shared" si="2"/>
        <v>35</v>
      </c>
      <c r="K21" s="53">
        <f t="shared" si="2"/>
        <v>40</v>
      </c>
      <c r="L21" s="53">
        <f t="shared" si="2"/>
        <v>45</v>
      </c>
      <c r="M21" s="53">
        <f t="shared" si="2"/>
        <v>50</v>
      </c>
      <c r="N21" s="53">
        <f t="shared" si="2"/>
        <v>55</v>
      </c>
      <c r="O21" s="54">
        <f t="shared" si="2"/>
        <v>60</v>
      </c>
    </row>
    <row r="22" spans="1:15" ht="12.75">
      <c r="A22" s="43" t="str">
        <f>$A$13</f>
        <v>Furling Genoa</v>
      </c>
      <c r="B22" s="86" t="str">
        <f>'Select Winches'!$B$14</f>
        <v>B56.3STC</v>
      </c>
      <c r="C22" s="51">
        <f aca="true" t="shared" si="3" ref="C22:C27">VLOOKUP(B22,HarkenSpecs,4)*2*LenHandle/VLOOKUP(B22,HarkenSpecs,10)</f>
        <v>21.05263157894737</v>
      </c>
      <c r="D22" s="222">
        <f>(1-FrictionLosses)*'Vessel Sheet Loads'!$C$4/$C22</f>
        <v>1.9637222</v>
      </c>
      <c r="E22" s="55">
        <f>ROUND((1-FrictionLosses)*'Vessel Sheet Loads'!$D$4/$C22,0)</f>
        <v>8</v>
      </c>
      <c r="F22" s="55">
        <f>ROUND((1-FrictionLosses)*'Vessel Sheet Loads'!$E$4/$C22,0)</f>
        <v>18</v>
      </c>
      <c r="G22" s="55">
        <f>ROUND((1-FrictionLosses)*'Vessel Sheet Loads'!$F$4/$C22,0)</f>
        <v>31</v>
      </c>
      <c r="H22" s="56">
        <f>ROUND((1-FrictionLosses)*'Vessel Sheet Loads'!$G$4/$C22,0)</f>
        <v>49</v>
      </c>
      <c r="I22" s="56">
        <f>ROUND((1-FrictionLosses)*'Vessel Sheet Loads'!$H$4/$C22,0)</f>
        <v>71</v>
      </c>
      <c r="J22" s="56">
        <f>ROUND((1-FrictionLosses)*'Vessel Sheet Loads'!$I$4/$C22,0)</f>
        <v>96</v>
      </c>
      <c r="K22" s="56">
        <f>ROUND((1-FrictionLosses)*'Vessel Sheet Loads'!$J$4/$C22,0)</f>
        <v>126</v>
      </c>
      <c r="L22" s="56">
        <f>ROUND((1-FrictionLosses)*'Vessel Sheet Loads'!$K$4/$C22,0)</f>
        <v>159</v>
      </c>
      <c r="M22" s="56">
        <f>ROUND((1-FrictionLosses)*'Vessel Sheet Loads'!$L$4/$C22,0)</f>
        <v>196</v>
      </c>
      <c r="N22" s="56">
        <f>ROUND((1-FrictionLosses)*'Vessel Sheet Loads'!$M$4/$C22,0)</f>
        <v>238</v>
      </c>
      <c r="O22" s="57">
        <f>ROUND((1-FrictionLosses)*'Vessel Sheet Loads'!$N$4/$C22,0)</f>
        <v>283</v>
      </c>
    </row>
    <row r="23" spans="1:15" ht="12.75">
      <c r="A23" s="43" t="str">
        <f>$A$14</f>
        <v>Genoa Part Furled (100%)</v>
      </c>
      <c r="B23" s="87" t="str">
        <f>'Select Winches'!$B$14</f>
        <v>B56.3STC</v>
      </c>
      <c r="C23" s="92">
        <f t="shared" si="3"/>
        <v>21.05263157894737</v>
      </c>
      <c r="D23" s="48">
        <f>(1-FrictionLosses)*'Vessel Sheet Loads'!$C$5/$C23</f>
        <v>1.5763824999999998</v>
      </c>
      <c r="E23" s="44">
        <f>ROUND((1-FrictionLosses)*'Vessel Sheet Loads'!$D$5/$C23,0)</f>
        <v>6</v>
      </c>
      <c r="F23" s="13">
        <f>ROUND((1-FrictionLosses)*'Vessel Sheet Loads'!$E$5/$C23,0)</f>
        <v>14</v>
      </c>
      <c r="G23" s="13">
        <f>ROUND((1-FrictionLosses)*'Vessel Sheet Loads'!$F$5/$C23,0)</f>
        <v>25</v>
      </c>
      <c r="H23" s="13">
        <f>ROUND((1-FrictionLosses)*'Vessel Sheet Loads'!$G$5/$C23,0)</f>
        <v>39</v>
      </c>
      <c r="I23" s="13">
        <f>ROUND((1-FrictionLosses)*'Vessel Sheet Loads'!$H$5/$C23,0)</f>
        <v>57</v>
      </c>
      <c r="J23" s="44">
        <f>ROUND((1-FrictionLosses)*'Vessel Sheet Loads'!$I$5/$C23,0)</f>
        <v>77</v>
      </c>
      <c r="K23" s="44">
        <f>ROUND((1-FrictionLosses)*'Vessel Sheet Loads'!$J$5/$C23,0)</f>
        <v>101</v>
      </c>
      <c r="L23" s="44">
        <f>ROUND((1-FrictionLosses)*'Vessel Sheet Loads'!$K$5/$C23,0)</f>
        <v>128</v>
      </c>
      <c r="M23" s="44">
        <f>ROUND((1-FrictionLosses)*'Vessel Sheet Loads'!$L$5/$C23,0)</f>
        <v>158</v>
      </c>
      <c r="N23" s="44">
        <f>ROUND((1-FrictionLosses)*'Vessel Sheet Loads'!$M$5/$C23,0)</f>
        <v>191</v>
      </c>
      <c r="O23" s="45">
        <f>ROUND((1-FrictionLosses)*'Vessel Sheet Loads'!$N$5/$C23,0)</f>
        <v>227</v>
      </c>
    </row>
    <row r="24" spans="1:15" ht="12.75">
      <c r="A24" s="43" t="str">
        <f>$A$15</f>
        <v>Working Staysail</v>
      </c>
      <c r="B24" s="87" t="str">
        <f>'Select Winches'!$B$15</f>
        <v>B40.2STC</v>
      </c>
      <c r="C24" s="92">
        <f t="shared" si="3"/>
        <v>14.666666666666666</v>
      </c>
      <c r="D24" s="48">
        <f>(1-FrictionLosses)*'Vessel Sheet Loads'!$C$6/$C24</f>
        <v>0.9403636363636364</v>
      </c>
      <c r="E24" s="13">
        <f>ROUND((1-FrictionLosses)*'Vessel Sheet Loads'!$D$6/$C24,0)</f>
        <v>4</v>
      </c>
      <c r="F24" s="13">
        <f>ROUND((1-FrictionLosses)*'Vessel Sheet Loads'!$E$6/$C24,0)</f>
        <v>8</v>
      </c>
      <c r="G24" s="13">
        <f>ROUND((1-FrictionLosses)*'Vessel Sheet Loads'!$F$6/$C24,0)</f>
        <v>15</v>
      </c>
      <c r="H24" s="13">
        <f>ROUND((1-FrictionLosses)*'Vessel Sheet Loads'!$G$6/$C24,0)</f>
        <v>24</v>
      </c>
      <c r="I24" s="13">
        <f>ROUND((1-FrictionLosses)*'Vessel Sheet Loads'!$H$6/$C24,0)</f>
        <v>34</v>
      </c>
      <c r="J24" s="13">
        <f>ROUND((1-FrictionLosses)*'Vessel Sheet Loads'!$I$6/$C24,0)</f>
        <v>46</v>
      </c>
      <c r="K24" s="13">
        <f>ROUND((1-FrictionLosses)*'Vessel Sheet Loads'!$J$6/$C24,0)</f>
        <v>60</v>
      </c>
      <c r="L24" s="44">
        <f>ROUND((1-FrictionLosses)*'Vessel Sheet Loads'!$K$6/$C24,0)</f>
        <v>76</v>
      </c>
      <c r="M24" s="44">
        <f>ROUND((1-FrictionLosses)*'Vessel Sheet Loads'!$L$6/$C24,0)</f>
        <v>94</v>
      </c>
      <c r="N24" s="44">
        <f>ROUND((1-FrictionLosses)*'Vessel Sheet Loads'!$M$6/$C24,0)</f>
        <v>114</v>
      </c>
      <c r="O24" s="45">
        <f>ROUND((1-FrictionLosses)*'Vessel Sheet Loads'!$N$6/$C24,0)</f>
        <v>135</v>
      </c>
    </row>
    <row r="25" spans="1:15" ht="12.75">
      <c r="A25" s="43" t="str">
        <f>$A$16</f>
        <v>Storm Staysail</v>
      </c>
      <c r="B25" s="87" t="str">
        <f>'Select Winches'!$B$15</f>
        <v>B40.2STC</v>
      </c>
      <c r="C25" s="92">
        <f t="shared" si="3"/>
        <v>14.666666666666666</v>
      </c>
      <c r="D25" s="48">
        <f>(1-FrictionLosses)*'Vessel Sheet Loads'!$C$7/$C25</f>
        <v>0.6758863636363637</v>
      </c>
      <c r="E25" s="44">
        <f>ROUND((1-FrictionLosses)*'Vessel Sheet Loads'!$D$7/$C25,0)</f>
        <v>3</v>
      </c>
      <c r="F25" s="44">
        <f>ROUND((1-FrictionLosses)*'Vessel Sheet Loads'!$E$7/$C25,0)</f>
        <v>6</v>
      </c>
      <c r="G25" s="44">
        <f>ROUND((1-FrictionLosses)*'Vessel Sheet Loads'!$F$7/$C25,0)</f>
        <v>11</v>
      </c>
      <c r="H25" s="44">
        <f>ROUND((1-FrictionLosses)*'Vessel Sheet Loads'!$G$7/$C25,0)</f>
        <v>17</v>
      </c>
      <c r="I25" s="13">
        <f>ROUND((1-FrictionLosses)*'Vessel Sheet Loads'!$H$7/$C25,0)</f>
        <v>24</v>
      </c>
      <c r="J25" s="13">
        <f>ROUND((1-FrictionLosses)*'Vessel Sheet Loads'!$I$7/$C25,0)</f>
        <v>33</v>
      </c>
      <c r="K25" s="13">
        <f>ROUND((1-FrictionLosses)*'Vessel Sheet Loads'!$J$7/$C25,0)</f>
        <v>43</v>
      </c>
      <c r="L25" s="13">
        <f>ROUND((1-FrictionLosses)*'Vessel Sheet Loads'!$K$7/$C25,0)</f>
        <v>55</v>
      </c>
      <c r="M25" s="44">
        <f>ROUND((1-FrictionLosses)*'Vessel Sheet Loads'!$L$7/$C25,0)</f>
        <v>68</v>
      </c>
      <c r="N25" s="44">
        <f>ROUND((1-FrictionLosses)*'Vessel Sheet Loads'!$M$7/$C25,0)</f>
        <v>82</v>
      </c>
      <c r="O25" s="45">
        <f>ROUND((1-FrictionLosses)*'Vessel Sheet Loads'!$N$7/$C25,0)</f>
        <v>97</v>
      </c>
    </row>
    <row r="26" spans="1:15" ht="12.75">
      <c r="A26" s="43" t="str">
        <f>$A$17</f>
        <v>Asym. Cr. Spinnaker</v>
      </c>
      <c r="B26" s="87" t="str">
        <f>'Select Winches'!$B$14</f>
        <v>B56.3STC</v>
      </c>
      <c r="C26" s="92">
        <f t="shared" si="3"/>
        <v>21.05263157894737</v>
      </c>
      <c r="D26" s="223">
        <f>(1-FrictionLosses)*'Vessel Sheet Loads'!$C$8/$C26</f>
        <v>5.3023774999999995</v>
      </c>
      <c r="E26" s="13">
        <f>ROUND((1-FrictionLosses)*'Vessel Sheet Loads'!$D$8/$C26,0)</f>
        <v>21</v>
      </c>
      <c r="F26" s="13">
        <f>ROUND((1-FrictionLosses)*'Vessel Sheet Loads'!$E$8/$C26,0)</f>
        <v>48</v>
      </c>
      <c r="G26" s="44">
        <f>ROUND((1-FrictionLosses)*'Vessel Sheet Loads'!$F$8/$C26,0)</f>
        <v>85</v>
      </c>
      <c r="H26" s="44">
        <f>ROUND((1-FrictionLosses)*'Vessel Sheet Loads'!$G$8/$C26,0)</f>
        <v>133</v>
      </c>
      <c r="I26" s="44">
        <f>ROUND((1-FrictionLosses)*'Vessel Sheet Loads'!$H$8/$C26,0)</f>
        <v>191</v>
      </c>
      <c r="J26" s="44">
        <f>ROUND((1-FrictionLosses)*'Vessel Sheet Loads'!$I$8/$C26,0)</f>
        <v>260</v>
      </c>
      <c r="K26" s="44">
        <f>ROUND((1-FrictionLosses)*'Vessel Sheet Loads'!$J$8/$C26,0)</f>
        <v>339</v>
      </c>
      <c r="L26" s="44">
        <f>ROUND((1-FrictionLosses)*'Vessel Sheet Loads'!$K$8/$C26,0)</f>
        <v>429</v>
      </c>
      <c r="M26" s="44">
        <f>ROUND((1-FrictionLosses)*'Vessel Sheet Loads'!$L$8/$C26,0)</f>
        <v>530</v>
      </c>
      <c r="N26" s="44">
        <f>ROUND((1-FrictionLosses)*'Vessel Sheet Loads'!$M$8/$C26,0)</f>
        <v>642</v>
      </c>
      <c r="O26" s="45">
        <f>ROUND((1-FrictionLosses)*'Vessel Sheet Loads'!$N$8/$C26,0)</f>
        <v>764</v>
      </c>
    </row>
    <row r="27" spans="1:15" ht="13.5" thickBot="1">
      <c r="A27" s="46" t="str">
        <f>$A$18</f>
        <v>Storm Trysail / Third Reef</v>
      </c>
      <c r="B27" s="88" t="str">
        <f>'Select Winches'!$B$14</f>
        <v>B56.3STC</v>
      </c>
      <c r="C27" s="93">
        <f t="shared" si="3"/>
        <v>21.05263157894737</v>
      </c>
      <c r="D27" s="47">
        <f>(1-FrictionLosses)*'Vessel Sheet Loads'!$C$24/$C27</f>
        <v>0.12731675745996815</v>
      </c>
      <c r="E27" s="47">
        <f>ROUND((1-FrictionLosses)*'Vessel Sheet Loads'!$D$24/$C27,0)</f>
        <v>1</v>
      </c>
      <c r="F27" s="47">
        <f>ROUND((1-FrictionLosses)*'Vessel Sheet Loads'!$E$24/$C27,0)</f>
        <v>1</v>
      </c>
      <c r="G27" s="47">
        <f>ROUND((1-FrictionLosses)*'Vessel Sheet Loads'!$F$24/$C27,0)</f>
        <v>2</v>
      </c>
      <c r="H27" s="47">
        <f>ROUND((1-FrictionLosses)*'Vessel Sheet Loads'!$G$24/$C27,0)</f>
        <v>3</v>
      </c>
      <c r="I27" s="47">
        <f>ROUND((1-FrictionLosses)*'Vessel Sheet Loads'!$H$24/$C27,0)</f>
        <v>5</v>
      </c>
      <c r="J27" s="47">
        <f>ROUND((1-FrictionLosses)*'Vessel Sheet Loads'!$I$24/$C27,0)</f>
        <v>6</v>
      </c>
      <c r="K27" s="14">
        <f>ROUND((1-FrictionLosses)*'Vessel Sheet Loads'!$J$24/$C27,0)</f>
        <v>8</v>
      </c>
      <c r="L27" s="14">
        <f>ROUND((1-FrictionLosses)*'Vessel Sheet Loads'!$K$24/$C27,0)</f>
        <v>10</v>
      </c>
      <c r="M27" s="14">
        <f>ROUND((1-FrictionLosses)*'Vessel Sheet Loads'!$L$24/$C27,0)</f>
        <v>13</v>
      </c>
      <c r="N27" s="14">
        <f>ROUND((1-FrictionLosses)*'Vessel Sheet Loads'!$M$24/$C27,0)</f>
        <v>15</v>
      </c>
      <c r="O27" s="14">
        <f>ROUND((1-FrictionLosses)*'Vessel Sheet Loads'!$N$24/$C27,0)</f>
        <v>18</v>
      </c>
    </row>
    <row r="28" ht="13.5" thickBot="1">
      <c r="B28" s="18"/>
    </row>
    <row r="29" spans="1:15" ht="18.75" customHeight="1">
      <c r="A29" s="319" t="s">
        <v>0</v>
      </c>
      <c r="B29" s="321" t="s">
        <v>5</v>
      </c>
      <c r="C29" s="19" t="s">
        <v>43</v>
      </c>
      <c r="D29" s="254" t="s">
        <v>70</v>
      </c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6"/>
    </row>
    <row r="30" spans="1:15" ht="23.25" thickBot="1">
      <c r="A30" s="320"/>
      <c r="B30" s="322"/>
      <c r="C30" s="20" t="s">
        <v>17</v>
      </c>
      <c r="D30" s="10">
        <v>5</v>
      </c>
      <c r="E30" s="11">
        <f aca="true" t="shared" si="4" ref="E30:O30">D30+5</f>
        <v>10</v>
      </c>
      <c r="F30" s="11">
        <f t="shared" si="4"/>
        <v>15</v>
      </c>
      <c r="G30" s="11">
        <f t="shared" si="4"/>
        <v>20</v>
      </c>
      <c r="H30" s="11">
        <f t="shared" si="4"/>
        <v>25</v>
      </c>
      <c r="I30" s="11">
        <f t="shared" si="4"/>
        <v>30</v>
      </c>
      <c r="J30" s="11">
        <f t="shared" si="4"/>
        <v>35</v>
      </c>
      <c r="K30" s="11">
        <f t="shared" si="4"/>
        <v>40</v>
      </c>
      <c r="L30" s="11">
        <f t="shared" si="4"/>
        <v>45</v>
      </c>
      <c r="M30" s="11">
        <f t="shared" si="4"/>
        <v>50</v>
      </c>
      <c r="N30" s="11">
        <f t="shared" si="4"/>
        <v>55</v>
      </c>
      <c r="O30" s="12">
        <f t="shared" si="4"/>
        <v>60</v>
      </c>
    </row>
    <row r="31" spans="1:15" ht="12.75">
      <c r="A31" s="43" t="str">
        <f>$A$13</f>
        <v>Furling Genoa</v>
      </c>
      <c r="B31" s="86" t="str">
        <f>'Select Winches'!$B$20</f>
        <v>54CST</v>
      </c>
      <c r="C31" s="50">
        <f aca="true" t="shared" si="5" ref="C31:C36">VLOOKUP(B31,LewmarSpecs,4)*2*LenHandle/VLOOKUP(B31,LewmarSpecs,10)</f>
        <v>13.575757575757576</v>
      </c>
      <c r="D31" s="222">
        <f>(1-FrictionLosses)*'Vessel Sheet Loads'!$C$4/$C31</f>
        <v>3.045245892857143</v>
      </c>
      <c r="E31" s="55">
        <f>ROUND((1-FrictionLosses)*'Vessel Sheet Loads'!$D$4/$C31,0)</f>
        <v>12</v>
      </c>
      <c r="F31" s="55">
        <f>ROUND((1-FrictionLosses)*'Vessel Sheet Loads'!$E$4/$C31,0)</f>
        <v>27</v>
      </c>
      <c r="G31" s="55">
        <f>ROUND((1-FrictionLosses)*'Vessel Sheet Loads'!$F$4/$C31,0)</f>
        <v>49</v>
      </c>
      <c r="H31" s="56">
        <f>ROUND((1-FrictionLosses)*'Vessel Sheet Loads'!$G$4/$C31,0)</f>
        <v>76</v>
      </c>
      <c r="I31" s="56">
        <f>ROUND((1-FrictionLosses)*'Vessel Sheet Loads'!$H$4/$C31,0)</f>
        <v>110</v>
      </c>
      <c r="J31" s="56">
        <f>ROUND((1-FrictionLosses)*'Vessel Sheet Loads'!$I$4/$C31,0)</f>
        <v>149</v>
      </c>
      <c r="K31" s="56">
        <f>ROUND((1-FrictionLosses)*'Vessel Sheet Loads'!$J$4/$C31,0)</f>
        <v>195</v>
      </c>
      <c r="L31" s="56">
        <f>ROUND((1-FrictionLosses)*'Vessel Sheet Loads'!$K$4/$C31,0)</f>
        <v>247</v>
      </c>
      <c r="M31" s="56">
        <f>ROUND((1-FrictionLosses)*'Vessel Sheet Loads'!$L$4/$C31,0)</f>
        <v>305</v>
      </c>
      <c r="N31" s="56">
        <f>ROUND((1-FrictionLosses)*'Vessel Sheet Loads'!$M$4/$C31,0)</f>
        <v>368</v>
      </c>
      <c r="O31" s="57">
        <f>ROUND((1-FrictionLosses)*'Vessel Sheet Loads'!$N$4/$C31,0)</f>
        <v>439</v>
      </c>
    </row>
    <row r="32" spans="1:15" ht="12.75">
      <c r="A32" s="43" t="str">
        <f>$A$14</f>
        <v>Genoa Part Furled (100%)</v>
      </c>
      <c r="B32" s="87" t="str">
        <f>'Select Winches'!$B$20</f>
        <v>54CST</v>
      </c>
      <c r="C32" s="90">
        <f t="shared" si="5"/>
        <v>13.575757575757576</v>
      </c>
      <c r="D32" s="48">
        <f>(1-FrictionLosses)*'Vessel Sheet Loads'!$C$5/$C32</f>
        <v>2.4445781249999996</v>
      </c>
      <c r="E32" s="44">
        <f>ROUND((1-FrictionLosses)*'Vessel Sheet Loads'!$D$5/$C32,0)</f>
        <v>10</v>
      </c>
      <c r="F32" s="13">
        <f>ROUND((1-FrictionLosses)*'Vessel Sheet Loads'!$E$5/$C32,0)</f>
        <v>22</v>
      </c>
      <c r="G32" s="13">
        <f>ROUND((1-FrictionLosses)*'Vessel Sheet Loads'!$F$5/$C32,0)</f>
        <v>39</v>
      </c>
      <c r="H32" s="13">
        <f>ROUND((1-FrictionLosses)*'Vessel Sheet Loads'!$G$5/$C32,0)</f>
        <v>61</v>
      </c>
      <c r="I32" s="13">
        <f>ROUND((1-FrictionLosses)*'Vessel Sheet Loads'!$H$5/$C32,0)</f>
        <v>88</v>
      </c>
      <c r="J32" s="44">
        <f>ROUND((1-FrictionLosses)*'Vessel Sheet Loads'!$I$5/$C32,0)</f>
        <v>120</v>
      </c>
      <c r="K32" s="44">
        <f>ROUND((1-FrictionLosses)*'Vessel Sheet Loads'!$J$5/$C32,0)</f>
        <v>156</v>
      </c>
      <c r="L32" s="44">
        <f>ROUND((1-FrictionLosses)*'Vessel Sheet Loads'!$K$5/$C32,0)</f>
        <v>198</v>
      </c>
      <c r="M32" s="44">
        <f>ROUND((1-FrictionLosses)*'Vessel Sheet Loads'!$L$5/$C32,0)</f>
        <v>244</v>
      </c>
      <c r="N32" s="44">
        <f>ROUND((1-FrictionLosses)*'Vessel Sheet Loads'!$M$5/$C32,0)</f>
        <v>296</v>
      </c>
      <c r="O32" s="45">
        <f>ROUND((1-FrictionLosses)*'Vessel Sheet Loads'!$N$5/$C32,0)</f>
        <v>352</v>
      </c>
    </row>
    <row r="33" spans="1:15" ht="12.75">
      <c r="A33" s="43" t="str">
        <f>$A$15</f>
        <v>Working Staysail</v>
      </c>
      <c r="B33" s="87" t="str">
        <f>'Select Winches'!$B$21</f>
        <v>40CST</v>
      </c>
      <c r="C33" s="90">
        <f t="shared" si="5"/>
        <v>13.10344827586207</v>
      </c>
      <c r="D33" s="48">
        <f>(1-FrictionLosses)*'Vessel Sheet Loads'!$C$6/$C33</f>
        <v>1.0525473684210527</v>
      </c>
      <c r="E33" s="13">
        <f>ROUND((1-FrictionLosses)*'Vessel Sheet Loads'!$D$6/$C33,0)</f>
        <v>4</v>
      </c>
      <c r="F33" s="13">
        <f>ROUND((1-FrictionLosses)*'Vessel Sheet Loads'!$E$6/$C33,0)</f>
        <v>9</v>
      </c>
      <c r="G33" s="13">
        <f>ROUND((1-FrictionLosses)*'Vessel Sheet Loads'!$F$6/$C33,0)</f>
        <v>17</v>
      </c>
      <c r="H33" s="13">
        <f>ROUND((1-FrictionLosses)*'Vessel Sheet Loads'!$G$6/$C33,0)</f>
        <v>26</v>
      </c>
      <c r="I33" s="13">
        <f>ROUND((1-FrictionLosses)*'Vessel Sheet Loads'!$H$6/$C33,0)</f>
        <v>38</v>
      </c>
      <c r="J33" s="13">
        <f>ROUND((1-FrictionLosses)*'Vessel Sheet Loads'!$I$6/$C33,0)</f>
        <v>52</v>
      </c>
      <c r="K33" s="13">
        <f>ROUND((1-FrictionLosses)*'Vessel Sheet Loads'!$J$6/$C33,0)</f>
        <v>67</v>
      </c>
      <c r="L33" s="44">
        <f>ROUND((1-FrictionLosses)*'Vessel Sheet Loads'!$K$6/$C33,0)</f>
        <v>85</v>
      </c>
      <c r="M33" s="44">
        <f>ROUND((1-FrictionLosses)*'Vessel Sheet Loads'!$L$6/$C33,0)</f>
        <v>105</v>
      </c>
      <c r="N33" s="44">
        <f>ROUND((1-FrictionLosses)*'Vessel Sheet Loads'!$M$6/$C33,0)</f>
        <v>127</v>
      </c>
      <c r="O33" s="45">
        <f>ROUND((1-FrictionLosses)*'Vessel Sheet Loads'!$N$6/$C33,0)</f>
        <v>152</v>
      </c>
    </row>
    <row r="34" spans="1:15" ht="12.75">
      <c r="A34" s="43" t="str">
        <f>$A$16</f>
        <v>Storm Staysail</v>
      </c>
      <c r="B34" s="87" t="str">
        <f>'Select Winches'!$B$21</f>
        <v>40CST</v>
      </c>
      <c r="C34" s="90">
        <f t="shared" si="5"/>
        <v>13.10344827586207</v>
      </c>
      <c r="D34" s="48">
        <f>(1-FrictionLosses)*'Vessel Sheet Loads'!$C$7/$C34</f>
        <v>0.7565184210526316</v>
      </c>
      <c r="E34" s="44">
        <f>ROUND((1-FrictionLosses)*'Vessel Sheet Loads'!$D$7/$C34,0)</f>
        <v>3</v>
      </c>
      <c r="F34" s="44">
        <f>ROUND((1-FrictionLosses)*'Vessel Sheet Loads'!$E$7/$C34,0)</f>
        <v>7</v>
      </c>
      <c r="G34" s="44">
        <f>ROUND((1-FrictionLosses)*'Vessel Sheet Loads'!$F$7/$C34,0)</f>
        <v>12</v>
      </c>
      <c r="H34" s="44">
        <f>ROUND((1-FrictionLosses)*'Vessel Sheet Loads'!$G$7/$C34,0)</f>
        <v>19</v>
      </c>
      <c r="I34" s="13">
        <f>ROUND((1-FrictionLosses)*'Vessel Sheet Loads'!$H$7/$C34,0)</f>
        <v>27</v>
      </c>
      <c r="J34" s="13">
        <f>ROUND((1-FrictionLosses)*'Vessel Sheet Loads'!$I$7/$C34,0)</f>
        <v>37</v>
      </c>
      <c r="K34" s="13">
        <f>ROUND((1-FrictionLosses)*'Vessel Sheet Loads'!$J$7/$C34,0)</f>
        <v>48</v>
      </c>
      <c r="L34" s="13">
        <f>ROUND((1-FrictionLosses)*'Vessel Sheet Loads'!$K$7/$C34,0)</f>
        <v>61</v>
      </c>
      <c r="M34" s="44">
        <f>ROUND((1-FrictionLosses)*'Vessel Sheet Loads'!$L$7/$C34,0)</f>
        <v>76</v>
      </c>
      <c r="N34" s="44">
        <f>ROUND((1-FrictionLosses)*'Vessel Sheet Loads'!$M$7/$C34,0)</f>
        <v>92</v>
      </c>
      <c r="O34" s="45">
        <f>ROUND((1-FrictionLosses)*'Vessel Sheet Loads'!$N$7/$C34,0)</f>
        <v>109</v>
      </c>
    </row>
    <row r="35" spans="1:15" ht="12.75">
      <c r="A35" s="43" t="str">
        <f>$A$17</f>
        <v>Asym. Cr. Spinnaker</v>
      </c>
      <c r="B35" s="87" t="str">
        <f>'Select Winches'!$B$20</f>
        <v>54CST</v>
      </c>
      <c r="C35" s="90">
        <f t="shared" si="5"/>
        <v>13.575757575757576</v>
      </c>
      <c r="D35" s="223">
        <f>(1-FrictionLosses)*'Vessel Sheet Loads'!$C$8/$C35</f>
        <v>8.222671875</v>
      </c>
      <c r="E35" s="13">
        <f>ROUND((1-FrictionLosses)*'Vessel Sheet Loads'!$D$8/$C35,0)</f>
        <v>33</v>
      </c>
      <c r="F35" s="13">
        <f>ROUND((1-FrictionLosses)*'Vessel Sheet Loads'!$E$8/$C35,0)</f>
        <v>74</v>
      </c>
      <c r="G35" s="44">
        <f>ROUND((1-FrictionLosses)*'Vessel Sheet Loads'!$F$8/$C35,0)</f>
        <v>132</v>
      </c>
      <c r="H35" s="44">
        <f>ROUND((1-FrictionLosses)*'Vessel Sheet Loads'!$G$8/$C35,0)</f>
        <v>206</v>
      </c>
      <c r="I35" s="44">
        <f>ROUND((1-FrictionLosses)*'Vessel Sheet Loads'!$H$8/$C35,0)</f>
        <v>296</v>
      </c>
      <c r="J35" s="44">
        <f>ROUND((1-FrictionLosses)*'Vessel Sheet Loads'!$I$8/$C35,0)</f>
        <v>403</v>
      </c>
      <c r="K35" s="44">
        <f>ROUND((1-FrictionLosses)*'Vessel Sheet Loads'!$J$8/$C35,0)</f>
        <v>526</v>
      </c>
      <c r="L35" s="44">
        <f>ROUND((1-FrictionLosses)*'Vessel Sheet Loads'!$K$8/$C35,0)</f>
        <v>666</v>
      </c>
      <c r="M35" s="44">
        <f>ROUND((1-FrictionLosses)*'Vessel Sheet Loads'!$L$8/$C35,0)</f>
        <v>822</v>
      </c>
      <c r="N35" s="44">
        <f>ROUND((1-FrictionLosses)*'Vessel Sheet Loads'!$M$8/$C35,0)</f>
        <v>995</v>
      </c>
      <c r="O35" s="45">
        <f>ROUND((1-FrictionLosses)*'Vessel Sheet Loads'!$N$8/$C35,0)</f>
        <v>1184</v>
      </c>
    </row>
    <row r="36" spans="1:15" ht="13.5" thickBot="1">
      <c r="A36" s="46" t="str">
        <f>$A$18</f>
        <v>Storm Trysail / Third Reef</v>
      </c>
      <c r="B36" s="88" t="str">
        <f>'Select Winches'!$B$20</f>
        <v>54CST</v>
      </c>
      <c r="C36" s="91">
        <f t="shared" si="5"/>
        <v>13.575757575757576</v>
      </c>
      <c r="D36" s="47">
        <f>(1-FrictionLosses)*'Vessel Sheet Loads'!$C$24/$C36</f>
        <v>0.19743670094825888</v>
      </c>
      <c r="E36" s="47">
        <f>ROUND((1-FrictionLosses)*'Vessel Sheet Loads'!$D$24/$C36,0)</f>
        <v>1</v>
      </c>
      <c r="F36" s="47">
        <f>ROUND((1-FrictionLosses)*'Vessel Sheet Loads'!$E$24/$C36,0)</f>
        <v>2</v>
      </c>
      <c r="G36" s="47">
        <f>ROUND((1-FrictionLosses)*'Vessel Sheet Loads'!$F$24/$C36,0)</f>
        <v>3</v>
      </c>
      <c r="H36" s="47">
        <f>ROUND((1-FrictionLosses)*'Vessel Sheet Loads'!$G$24/$C36,0)</f>
        <v>5</v>
      </c>
      <c r="I36" s="47">
        <f>ROUND((1-FrictionLosses)*'Vessel Sheet Loads'!$H$24/$C36,0)</f>
        <v>7</v>
      </c>
      <c r="J36" s="47">
        <f>ROUND((1-FrictionLosses)*'Vessel Sheet Loads'!$I$24/$C36,0)</f>
        <v>10</v>
      </c>
      <c r="K36" s="14">
        <f>ROUND((1-FrictionLosses)*'Vessel Sheet Loads'!$J$24/$C36,0)</f>
        <v>13</v>
      </c>
      <c r="L36" s="14">
        <f>ROUND((1-FrictionLosses)*'Vessel Sheet Loads'!$K$24/$C36,0)</f>
        <v>16</v>
      </c>
      <c r="M36" s="14">
        <f>ROUND((1-FrictionLosses)*'Vessel Sheet Loads'!$L$24/$C36,0)</f>
        <v>20</v>
      </c>
      <c r="N36" s="14">
        <f>ROUND((1-FrictionLosses)*'Vessel Sheet Loads'!$M$24/$C36,0)</f>
        <v>24</v>
      </c>
      <c r="O36" s="14">
        <f>ROUND((1-FrictionLosses)*'Vessel Sheet Loads'!$N$24/$C36,0)</f>
        <v>28</v>
      </c>
    </row>
    <row r="37" spans="1:15" s="174" customFormat="1" ht="13.5" thickBot="1">
      <c r="A37" s="162"/>
      <c r="B37" s="160"/>
      <c r="C37" s="173"/>
      <c r="D37" s="173"/>
      <c r="E37" s="173"/>
      <c r="F37" s="173"/>
      <c r="G37" s="173"/>
      <c r="H37" s="173"/>
      <c r="I37" s="173"/>
      <c r="J37" s="173"/>
      <c r="K37" s="172"/>
      <c r="L37" s="172"/>
      <c r="M37" s="172"/>
      <c r="N37" s="172"/>
      <c r="O37" s="172"/>
    </row>
    <row r="38" spans="1:15" ht="24" thickBot="1">
      <c r="A38" s="305" t="s">
        <v>157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7"/>
    </row>
    <row r="39" ht="4.5" customHeight="1" thickBot="1"/>
    <row r="40" spans="1:15" ht="22.5">
      <c r="A40" s="319" t="s">
        <v>0</v>
      </c>
      <c r="B40" s="321" t="s">
        <v>5</v>
      </c>
      <c r="C40" s="19" t="s">
        <v>44</v>
      </c>
      <c r="D40" s="254" t="s">
        <v>69</v>
      </c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</row>
    <row r="41" spans="1:15" ht="23.25" thickBot="1">
      <c r="A41" s="320"/>
      <c r="B41" s="322"/>
      <c r="C41" s="20" t="s">
        <v>17</v>
      </c>
      <c r="D41" s="10">
        <v>5</v>
      </c>
      <c r="E41" s="11">
        <f aca="true" t="shared" si="6" ref="E41:O41">D41+5</f>
        <v>10</v>
      </c>
      <c r="F41" s="11">
        <f t="shared" si="6"/>
        <v>15</v>
      </c>
      <c r="G41" s="11">
        <f t="shared" si="6"/>
        <v>20</v>
      </c>
      <c r="H41" s="11">
        <f t="shared" si="6"/>
        <v>25</v>
      </c>
      <c r="I41" s="11">
        <f t="shared" si="6"/>
        <v>30</v>
      </c>
      <c r="J41" s="11">
        <f t="shared" si="6"/>
        <v>35</v>
      </c>
      <c r="K41" s="11">
        <f t="shared" si="6"/>
        <v>40</v>
      </c>
      <c r="L41" s="11">
        <f t="shared" si="6"/>
        <v>45</v>
      </c>
      <c r="M41" s="11">
        <f t="shared" si="6"/>
        <v>50</v>
      </c>
      <c r="N41" s="11">
        <f t="shared" si="6"/>
        <v>55</v>
      </c>
      <c r="O41" s="12">
        <f t="shared" si="6"/>
        <v>60</v>
      </c>
    </row>
    <row r="42" spans="1:15" ht="13.5" customHeight="1">
      <c r="A42" s="43" t="str">
        <f>$A$13</f>
        <v>Furling Genoa</v>
      </c>
      <c r="B42" s="86" t="str">
        <f>'Select Winches'!$B$8</f>
        <v>52ST</v>
      </c>
      <c r="C42" s="50">
        <f aca="true" t="shared" si="7" ref="C42:C48">VLOOKUP(B42,AndersonSpecs,5)*2*LenHandle/VLOOKUP(B42,AndersonSpecs,10)</f>
        <v>53.339999999999996</v>
      </c>
      <c r="D42" s="94">
        <f>(1-FrictionLosses)*'Vessel Sheet Loads'!$C$4/$C42</f>
        <v>0.7750566179227597</v>
      </c>
      <c r="E42" s="55">
        <f>ROUND((1-FrictionLosses)*'Vessel Sheet Loads'!$D$4/$C42,0)</f>
        <v>3</v>
      </c>
      <c r="F42" s="55">
        <f>ROUND((1-FrictionLosses)*'Vessel Sheet Loads'!$E$4/$C42,0)</f>
        <v>7</v>
      </c>
      <c r="G42" s="55">
        <f>ROUND((1-FrictionLosses)*'Vessel Sheet Loads'!$F$4/$C42,0)</f>
        <v>12</v>
      </c>
      <c r="H42" s="252">
        <f>ROUND((1-FrictionLosses)*'Vessel Sheet Loads'!$G$4/$C42,0)</f>
        <v>19</v>
      </c>
      <c r="I42" s="252">
        <f>ROUND((1-FrictionLosses)*'Vessel Sheet Loads'!$H$4/$C42,0)</f>
        <v>28</v>
      </c>
      <c r="J42" s="252">
        <f>ROUND((1-FrictionLosses)*'Vessel Sheet Loads'!$I$4/$C42,0)</f>
        <v>38</v>
      </c>
      <c r="K42" s="252">
        <f>ROUND((1-FrictionLosses)*'Vessel Sheet Loads'!$J$4/$C42,0)</f>
        <v>50</v>
      </c>
      <c r="L42" s="252">
        <f>ROUND((1-FrictionLosses)*'Vessel Sheet Loads'!$K$4/$C42,0)</f>
        <v>63</v>
      </c>
      <c r="M42" s="252">
        <f>ROUND((1-FrictionLosses)*'Vessel Sheet Loads'!$L$4/$C42,0)</f>
        <v>78</v>
      </c>
      <c r="N42" s="252">
        <f>ROUND((1-FrictionLosses)*'Vessel Sheet Loads'!$M$4/$C42,0)</f>
        <v>94</v>
      </c>
      <c r="O42" s="252">
        <f>ROUND((1-FrictionLosses)*'Vessel Sheet Loads'!$N$4/$C42,0)</f>
        <v>112</v>
      </c>
    </row>
    <row r="43" spans="1:15" ht="12.75">
      <c r="A43" s="43" t="str">
        <f>$A$14</f>
        <v>Genoa Part Furled (100%)</v>
      </c>
      <c r="B43" s="87" t="str">
        <f>'Select Winches'!$B$8</f>
        <v>52ST</v>
      </c>
      <c r="C43" s="90">
        <f t="shared" si="7"/>
        <v>53.339999999999996</v>
      </c>
      <c r="D43" s="252">
        <f>(1-FrictionLosses)*'Vessel Sheet Loads'!$C$5/$C43</f>
        <v>0.6221784776902887</v>
      </c>
      <c r="E43" s="44">
        <f>ROUND((1-FrictionLosses)*'Vessel Sheet Loads'!$D$5/$C43,0)</f>
        <v>2</v>
      </c>
      <c r="F43" s="13">
        <f>ROUND((1-FrictionLosses)*'Vessel Sheet Loads'!$E$5/$C43,0)</f>
        <v>6</v>
      </c>
      <c r="G43" s="13">
        <f>ROUND((1-FrictionLosses)*'Vessel Sheet Loads'!$F$5/$C43,0)</f>
        <v>10</v>
      </c>
      <c r="H43" s="13">
        <f>ROUND((1-FrictionLosses)*'Vessel Sheet Loads'!$G$5/$C43,0)</f>
        <v>16</v>
      </c>
      <c r="I43" s="13">
        <f>ROUND((1-FrictionLosses)*'Vessel Sheet Loads'!$H$5/$C43,0)</f>
        <v>22</v>
      </c>
      <c r="J43" s="252">
        <f>ROUND((1-FrictionLosses)*'Vessel Sheet Loads'!$I$5/$C43,0)</f>
        <v>30</v>
      </c>
      <c r="K43" s="252">
        <f>ROUND((1-FrictionLosses)*'Vessel Sheet Loads'!$J$5/$C43,0)</f>
        <v>40</v>
      </c>
      <c r="L43" s="252">
        <f>ROUND((1-FrictionLosses)*'Vessel Sheet Loads'!$K$5/$C43,0)</f>
        <v>50</v>
      </c>
      <c r="M43" s="252">
        <f>ROUND((1-FrictionLosses)*'Vessel Sheet Loads'!$L$5/$C43,0)</f>
        <v>62</v>
      </c>
      <c r="N43" s="252">
        <f>ROUND((1-FrictionLosses)*'Vessel Sheet Loads'!$M$5/$C43,0)</f>
        <v>75</v>
      </c>
      <c r="O43" s="252">
        <f>ROUND((1-FrictionLosses)*'Vessel Sheet Loads'!$N$5/$C43,0)</f>
        <v>90</v>
      </c>
    </row>
    <row r="44" spans="1:15" ht="12.75">
      <c r="A44" s="43" t="str">
        <f>$A$15</f>
        <v>Working Staysail</v>
      </c>
      <c r="B44" s="87" t="str">
        <f>'Select Winches'!$B$9</f>
        <v>40ST</v>
      </c>
      <c r="C44" s="90">
        <f t="shared" si="7"/>
        <v>40.10526315789474</v>
      </c>
      <c r="D44" s="252">
        <f>(1-FrictionLosses)*'Vessel Sheet Loads'!$C$6/$C44</f>
        <v>0.34389501312335957</v>
      </c>
      <c r="E44" s="13">
        <f>ROUND((1-FrictionLosses)*'Vessel Sheet Loads'!$D$6/$C44,0)</f>
        <v>1</v>
      </c>
      <c r="F44" s="13">
        <f>ROUND((1-FrictionLosses)*'Vessel Sheet Loads'!$E$6/$C44,0)</f>
        <v>3</v>
      </c>
      <c r="G44" s="13">
        <f>ROUND((1-FrictionLosses)*'Vessel Sheet Loads'!$F$6/$C44,0)</f>
        <v>6</v>
      </c>
      <c r="H44" s="13">
        <f>ROUND((1-FrictionLosses)*'Vessel Sheet Loads'!$G$6/$C44,0)</f>
        <v>9</v>
      </c>
      <c r="I44" s="13">
        <f>ROUND((1-FrictionLosses)*'Vessel Sheet Loads'!$H$6/$C44,0)</f>
        <v>12</v>
      </c>
      <c r="J44" s="13">
        <f>ROUND((1-FrictionLosses)*'Vessel Sheet Loads'!$I$6/$C44,0)</f>
        <v>17</v>
      </c>
      <c r="K44" s="13">
        <f>ROUND((1-FrictionLosses)*'Vessel Sheet Loads'!$J$6/$C44,0)</f>
        <v>22</v>
      </c>
      <c r="L44" s="252">
        <f>ROUND((1-FrictionLosses)*'Vessel Sheet Loads'!$K$6/$C44,0)</f>
        <v>28</v>
      </c>
      <c r="M44" s="252">
        <f>ROUND((1-FrictionLosses)*'Vessel Sheet Loads'!$L$6/$C44,0)</f>
        <v>34</v>
      </c>
      <c r="N44" s="252">
        <f>ROUND((1-FrictionLosses)*'Vessel Sheet Loads'!$M$6/$C44,0)</f>
        <v>42</v>
      </c>
      <c r="O44" s="252">
        <f>ROUND((1-FrictionLosses)*'Vessel Sheet Loads'!$N$6/$C44,0)</f>
        <v>50</v>
      </c>
    </row>
    <row r="45" spans="1:15" ht="12.75">
      <c r="A45" s="43" t="str">
        <f>$A$16</f>
        <v>Storm Staysail</v>
      </c>
      <c r="B45" s="87" t="str">
        <f>'Select Winches'!$B$9</f>
        <v>40ST</v>
      </c>
      <c r="C45" s="90">
        <f t="shared" si="7"/>
        <v>40.10526315789474</v>
      </c>
      <c r="D45" s="252">
        <f>(1-FrictionLosses)*'Vessel Sheet Loads'!$C$7/$C45</f>
        <v>0.24717454068241468</v>
      </c>
      <c r="E45" s="252">
        <f>ROUND((1-FrictionLosses)*'Vessel Sheet Loads'!$D$7/$C45,0)</f>
        <v>1</v>
      </c>
      <c r="F45" s="252">
        <f>ROUND((1-FrictionLosses)*'Vessel Sheet Loads'!$E$7/$C45,0)</f>
        <v>2</v>
      </c>
      <c r="G45" s="252">
        <f>ROUND((1-FrictionLosses)*'Vessel Sheet Loads'!$F$7/$C45,0)</f>
        <v>4</v>
      </c>
      <c r="H45" s="252">
        <f>ROUND((1-FrictionLosses)*'Vessel Sheet Loads'!$G$7/$C45,0)</f>
        <v>6</v>
      </c>
      <c r="I45" s="13">
        <f>ROUND((1-FrictionLosses)*'Vessel Sheet Loads'!$H$7/$C45,0)</f>
        <v>9</v>
      </c>
      <c r="J45" s="13">
        <f>ROUND((1-FrictionLosses)*'Vessel Sheet Loads'!$I$7/$C45,0)</f>
        <v>12</v>
      </c>
      <c r="K45" s="13">
        <f>ROUND((1-FrictionLosses)*'Vessel Sheet Loads'!$J$7/$C45,0)</f>
        <v>16</v>
      </c>
      <c r="L45" s="13">
        <f>ROUND((1-FrictionLosses)*'Vessel Sheet Loads'!$K$7/$C45,0)</f>
        <v>20</v>
      </c>
      <c r="M45" s="252">
        <f>ROUND((1-FrictionLosses)*'Vessel Sheet Loads'!$L$7/$C45,0)</f>
        <v>25</v>
      </c>
      <c r="N45" s="252">
        <f>ROUND((1-FrictionLosses)*'Vessel Sheet Loads'!$M$7/$C45,0)</f>
        <v>30</v>
      </c>
      <c r="O45" s="252">
        <f>ROUND((1-FrictionLosses)*'Vessel Sheet Loads'!$N$7/$C45,0)</f>
        <v>36</v>
      </c>
    </row>
    <row r="46" spans="1:15" ht="12.75">
      <c r="A46" s="43" t="str">
        <f>$A$17</f>
        <v>Asym. Cr. Spinnaker</v>
      </c>
      <c r="B46" s="87" t="str">
        <f>'Select Winches'!$B$8</f>
        <v>52ST</v>
      </c>
      <c r="C46" s="90">
        <f t="shared" si="7"/>
        <v>53.339999999999996</v>
      </c>
      <c r="D46" s="223">
        <f>(1-FrictionLosses)*'Vessel Sheet Loads'!$C$8/$C46</f>
        <v>2.0927821522309715</v>
      </c>
      <c r="E46" s="13">
        <f>ROUND((1-FrictionLosses)*'Vessel Sheet Loads'!$D$8/$C46,0)</f>
        <v>8</v>
      </c>
      <c r="F46" s="13">
        <f>ROUND((1-FrictionLosses)*'Vessel Sheet Loads'!$E$8/$C46,0)</f>
        <v>19</v>
      </c>
      <c r="G46" s="252">
        <f>ROUND((1-FrictionLosses)*'Vessel Sheet Loads'!$F$8/$C46,0)</f>
        <v>33</v>
      </c>
      <c r="H46" s="252">
        <f>ROUND((1-FrictionLosses)*'Vessel Sheet Loads'!$G$8/$C46,0)</f>
        <v>52</v>
      </c>
      <c r="I46" s="252">
        <f>ROUND((1-FrictionLosses)*'Vessel Sheet Loads'!$H$8/$C46,0)</f>
        <v>75</v>
      </c>
      <c r="J46" s="252">
        <f>ROUND((1-FrictionLosses)*'Vessel Sheet Loads'!$I$8/$C46,0)</f>
        <v>103</v>
      </c>
      <c r="K46" s="252">
        <f>ROUND((1-FrictionLosses)*'Vessel Sheet Loads'!$J$8/$C46,0)</f>
        <v>134</v>
      </c>
      <c r="L46" s="252">
        <f>ROUND((1-FrictionLosses)*'Vessel Sheet Loads'!$K$8/$C46,0)</f>
        <v>170</v>
      </c>
      <c r="M46" s="252">
        <f>ROUND((1-FrictionLosses)*'Vessel Sheet Loads'!$L$8/$C46,0)</f>
        <v>209</v>
      </c>
      <c r="N46" s="252">
        <f>ROUND((1-FrictionLosses)*'Vessel Sheet Loads'!$M$8/$C46,0)</f>
        <v>253</v>
      </c>
      <c r="O46" s="252">
        <f>ROUND((1-FrictionLosses)*'Vessel Sheet Loads'!$N$8/$C46,0)</f>
        <v>301</v>
      </c>
    </row>
    <row r="47" spans="1:15" ht="13.5" thickBot="1">
      <c r="A47" s="46" t="str">
        <f>$A$18</f>
        <v>Storm Trysail / Third Reef</v>
      </c>
      <c r="B47" s="88" t="str">
        <f>'Select Winches'!$B$9</f>
        <v>40ST</v>
      </c>
      <c r="C47" s="91">
        <f t="shared" si="7"/>
        <v>40.10526315789474</v>
      </c>
      <c r="D47" s="252">
        <f>(1-FrictionLosses)*'Vessel Sheet Loads'!$C$24/$C47</f>
        <v>0.0668329435485397</v>
      </c>
      <c r="E47" s="252">
        <f>ROUND((1-FrictionLosses)*'Vessel Sheet Loads'!$D$24/$C47,0)</f>
        <v>0</v>
      </c>
      <c r="F47" s="252">
        <f>ROUND((1-FrictionLosses)*'Vessel Sheet Loads'!$E$24/$C47,0)</f>
        <v>1</v>
      </c>
      <c r="G47" s="252">
        <f>ROUND((1-FrictionLosses)*'Vessel Sheet Loads'!$F$24/$C47,0)</f>
        <v>1</v>
      </c>
      <c r="H47" s="252">
        <f>ROUND((1-FrictionLosses)*'Vessel Sheet Loads'!$G$24/$C47,0)</f>
        <v>2</v>
      </c>
      <c r="I47" s="252">
        <f>ROUND((1-FrictionLosses)*'Vessel Sheet Loads'!$H$24/$C47,0)</f>
        <v>2</v>
      </c>
      <c r="J47" s="252">
        <f>ROUND((1-FrictionLosses)*'Vessel Sheet Loads'!$I$24/$C47,0)</f>
        <v>3</v>
      </c>
      <c r="K47" s="14">
        <f>ROUND((1-FrictionLosses)*'Vessel Sheet Loads'!$J$24/$C47,0)</f>
        <v>4</v>
      </c>
      <c r="L47" s="14">
        <f>ROUND((1-FrictionLosses)*'Vessel Sheet Loads'!$K$24/$C47,0)</f>
        <v>5</v>
      </c>
      <c r="M47" s="14">
        <f>ROUND((1-FrictionLosses)*'Vessel Sheet Loads'!$L$24/$C47,0)</f>
        <v>7</v>
      </c>
      <c r="N47" s="14">
        <f>ROUND((1-FrictionLosses)*'Vessel Sheet Loads'!$M$24/$C47,0)</f>
        <v>8</v>
      </c>
      <c r="O47" s="14">
        <f>ROUND((1-FrictionLosses)*'Vessel Sheet Loads'!$N$24/$C47,0)</f>
        <v>10</v>
      </c>
    </row>
    <row r="48" spans="1:15" ht="13.5" thickBot="1">
      <c r="A48" s="232" t="s">
        <v>179</v>
      </c>
      <c r="B48" s="88" t="str">
        <f>'Select Winches'!$B$10</f>
        <v>28ST</v>
      </c>
      <c r="C48" s="91">
        <f t="shared" si="7"/>
        <v>26.85142857142857</v>
      </c>
      <c r="D48" s="223">
        <f>(1-FrictionLosses)*'Vessel Sheet Loads'!$C$33/$C47</f>
        <v>0.22566301770706765</v>
      </c>
      <c r="E48" s="13">
        <f>ROUND((1-FrictionLosses)*'Vessel Sheet Loads'!D$33/$C$58,0)</f>
        <v>1</v>
      </c>
      <c r="F48" s="13">
        <f>ROUND((1-FrictionLosses)*'Vessel Sheet Loads'!E$33/$C$58,0)</f>
        <v>3</v>
      </c>
      <c r="G48" s="13">
        <f>ROUND((1-FrictionLosses)*'Vessel Sheet Loads'!F$33/$C$58,0)</f>
        <v>3</v>
      </c>
      <c r="H48" s="13">
        <f>ROUND((1-FrictionLosses)*'Vessel Sheet Loads'!G$33/$C$58,0)</f>
        <v>5</v>
      </c>
      <c r="I48" s="13">
        <f>ROUND((1-FrictionLosses)*'Vessel Sheet Loads'!H$33/$C$58,0)</f>
        <v>7</v>
      </c>
      <c r="J48" s="13">
        <f>ROUND((1-FrictionLosses)*'Vessel Sheet Loads'!I$33/$C$58,0)</f>
        <v>5</v>
      </c>
      <c r="K48" s="13">
        <f>ROUND((1-FrictionLosses)*'Vessel Sheet Loads'!J$33/$C$58,0)</f>
        <v>6</v>
      </c>
      <c r="L48" s="13">
        <f>ROUND((1-FrictionLosses)*'Vessel Sheet Loads'!K$33/$C$58,0)</f>
        <v>8</v>
      </c>
      <c r="M48" s="13">
        <f>ROUND((1-FrictionLosses)*'Vessel Sheet Loads'!L$33/$C$58,0)</f>
        <v>4</v>
      </c>
      <c r="N48" s="13">
        <f>ROUND((1-FrictionLosses)*'Vessel Sheet Loads'!M$33/$C$58,0)</f>
        <v>5</v>
      </c>
      <c r="O48" s="13">
        <f>ROUND((1-FrictionLosses)*'Vessel Sheet Loads'!N$33/$C$58,0)</f>
        <v>6</v>
      </c>
    </row>
    <row r="49" ht="13.5" thickBot="1">
      <c r="C49" s="18"/>
    </row>
    <row r="50" spans="1:15" ht="22.5">
      <c r="A50" s="319" t="s">
        <v>0</v>
      </c>
      <c r="B50" s="321" t="s">
        <v>5</v>
      </c>
      <c r="C50" s="19" t="s">
        <v>44</v>
      </c>
      <c r="D50" s="254" t="s">
        <v>68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</row>
    <row r="51" spans="1:15" ht="23.25" thickBot="1">
      <c r="A51" s="320"/>
      <c r="B51" s="322"/>
      <c r="C51" s="20" t="s">
        <v>17</v>
      </c>
      <c r="D51" s="10">
        <v>5</v>
      </c>
      <c r="E51" s="11">
        <f aca="true" t="shared" si="8" ref="E51:O51">D51+5</f>
        <v>10</v>
      </c>
      <c r="F51" s="11">
        <f t="shared" si="8"/>
        <v>15</v>
      </c>
      <c r="G51" s="11">
        <f t="shared" si="8"/>
        <v>20</v>
      </c>
      <c r="H51" s="11">
        <f t="shared" si="8"/>
        <v>25</v>
      </c>
      <c r="I51" s="11">
        <f t="shared" si="8"/>
        <v>30</v>
      </c>
      <c r="J51" s="11">
        <f t="shared" si="8"/>
        <v>35</v>
      </c>
      <c r="K51" s="11">
        <f t="shared" si="8"/>
        <v>40</v>
      </c>
      <c r="L51" s="11">
        <f t="shared" si="8"/>
        <v>45</v>
      </c>
      <c r="M51" s="11">
        <f t="shared" si="8"/>
        <v>50</v>
      </c>
      <c r="N51" s="11">
        <f t="shared" si="8"/>
        <v>55</v>
      </c>
      <c r="O51" s="12">
        <f t="shared" si="8"/>
        <v>60</v>
      </c>
    </row>
    <row r="52" spans="1:15" ht="13.5" customHeight="1">
      <c r="A52" s="43" t="str">
        <f>$A$13</f>
        <v>Furling Genoa</v>
      </c>
      <c r="B52" s="86" t="str">
        <f>'Select Winches'!$B$14</f>
        <v>B56.3STC</v>
      </c>
      <c r="C52" s="50">
        <f aca="true" t="shared" si="9" ref="C52:C58">VLOOKUP(B52,HarkenSpecs,5)*2*LenHandle/VLOOKUP(B52,HarkenSpecs,10)</f>
        <v>54.73684210526316</v>
      </c>
      <c r="D52" s="222">
        <f>(1-FrictionLosses)*'Vessel Sheet Loads'!$C$4/$C52</f>
        <v>0.7552777692307693</v>
      </c>
      <c r="E52" s="55">
        <f>ROUND((1-FrictionLosses)*'Vessel Sheet Loads'!$D$4/$C52,0)</f>
        <v>3</v>
      </c>
      <c r="F52" s="55">
        <f>ROUND((1-FrictionLosses)*'Vessel Sheet Loads'!$E$4/$C52,0)</f>
        <v>7</v>
      </c>
      <c r="G52" s="55">
        <f>ROUND((1-FrictionLosses)*'Vessel Sheet Loads'!$F$4/$C52,0)</f>
        <v>12</v>
      </c>
      <c r="H52" s="56">
        <f>ROUND((1-FrictionLosses)*'Vessel Sheet Loads'!$G$4/$C52,0)</f>
        <v>19</v>
      </c>
      <c r="I52" s="56">
        <f>ROUND((1-FrictionLosses)*'Vessel Sheet Loads'!$H$4/$C52,0)</f>
        <v>27</v>
      </c>
      <c r="J52" s="56">
        <f>ROUND((1-FrictionLosses)*'Vessel Sheet Loads'!$I$4/$C52,0)</f>
        <v>37</v>
      </c>
      <c r="K52" s="56">
        <f>ROUND((1-FrictionLosses)*'Vessel Sheet Loads'!$J$4/$C52,0)</f>
        <v>48</v>
      </c>
      <c r="L52" s="56">
        <f>ROUND((1-FrictionLosses)*'Vessel Sheet Loads'!$K$4/$C52,0)</f>
        <v>61</v>
      </c>
      <c r="M52" s="56">
        <f>ROUND((1-FrictionLosses)*'Vessel Sheet Loads'!$L$4/$C52,0)</f>
        <v>76</v>
      </c>
      <c r="N52" s="56">
        <f>ROUND((1-FrictionLosses)*'Vessel Sheet Loads'!$M$4/$C52,0)</f>
        <v>91</v>
      </c>
      <c r="O52" s="57">
        <f>ROUND((1-FrictionLosses)*'Vessel Sheet Loads'!$N$4/$C52,0)</f>
        <v>109</v>
      </c>
    </row>
    <row r="53" spans="1:15" ht="12.75">
      <c r="A53" s="43" t="str">
        <f>$A$14</f>
        <v>Genoa Part Furled (100%)</v>
      </c>
      <c r="B53" s="87" t="str">
        <f>'Select Winches'!$B$14</f>
        <v>B56.3STC</v>
      </c>
      <c r="C53" s="90">
        <f t="shared" si="9"/>
        <v>54.73684210526316</v>
      </c>
      <c r="D53" s="48">
        <f>(1-FrictionLosses)*'Vessel Sheet Loads'!$C$5/$C53</f>
        <v>0.6063009615384615</v>
      </c>
      <c r="E53" s="44">
        <f>ROUND((1-FrictionLosses)*'Vessel Sheet Loads'!$D$5/$C53,0)</f>
        <v>2</v>
      </c>
      <c r="F53" s="13">
        <f>ROUND((1-FrictionLosses)*'Vessel Sheet Loads'!$E$5/$C53,0)</f>
        <v>5</v>
      </c>
      <c r="G53" s="13">
        <f>ROUND((1-FrictionLosses)*'Vessel Sheet Loads'!$F$5/$C53,0)</f>
        <v>10</v>
      </c>
      <c r="H53" s="13">
        <f>ROUND((1-FrictionLosses)*'Vessel Sheet Loads'!$G$5/$C53,0)</f>
        <v>15</v>
      </c>
      <c r="I53" s="13">
        <f>ROUND((1-FrictionLosses)*'Vessel Sheet Loads'!$H$5/$C53,0)</f>
        <v>22</v>
      </c>
      <c r="J53" s="44">
        <f>ROUND((1-FrictionLosses)*'Vessel Sheet Loads'!$I$5/$C53,0)</f>
        <v>30</v>
      </c>
      <c r="K53" s="44">
        <f>ROUND((1-FrictionLosses)*'Vessel Sheet Loads'!$J$5/$C53,0)</f>
        <v>39</v>
      </c>
      <c r="L53" s="44">
        <f>ROUND((1-FrictionLosses)*'Vessel Sheet Loads'!$K$5/$C53,0)</f>
        <v>49</v>
      </c>
      <c r="M53" s="44">
        <f>ROUND((1-FrictionLosses)*'Vessel Sheet Loads'!$L$5/$C53,0)</f>
        <v>61</v>
      </c>
      <c r="N53" s="44">
        <f>ROUND((1-FrictionLosses)*'Vessel Sheet Loads'!$M$5/$C53,0)</f>
        <v>73</v>
      </c>
      <c r="O53" s="45">
        <f>ROUND((1-FrictionLosses)*'Vessel Sheet Loads'!$N$5/$C53,0)</f>
        <v>87</v>
      </c>
    </row>
    <row r="54" spans="1:15" ht="12.75">
      <c r="A54" s="43" t="str">
        <f>$A$15</f>
        <v>Working Staysail</v>
      </c>
      <c r="B54" s="87" t="str">
        <f>'Select Winches'!$B$15</f>
        <v>B40.2STC</v>
      </c>
      <c r="C54" s="90">
        <f t="shared" si="9"/>
        <v>40</v>
      </c>
      <c r="D54" s="48">
        <f>(1-FrictionLosses)*'Vessel Sheet Loads'!$C$6/$C54</f>
        <v>0.3448</v>
      </c>
      <c r="E54" s="13">
        <f>ROUND((1-FrictionLosses)*'Vessel Sheet Loads'!$D$6/$C54,0)</f>
        <v>1</v>
      </c>
      <c r="F54" s="13">
        <f>ROUND((1-FrictionLosses)*'Vessel Sheet Loads'!$E$6/$C54,0)</f>
        <v>3</v>
      </c>
      <c r="G54" s="13">
        <f>ROUND((1-FrictionLosses)*'Vessel Sheet Loads'!$F$6/$C54,0)</f>
        <v>6</v>
      </c>
      <c r="H54" s="13">
        <f>ROUND((1-FrictionLosses)*'Vessel Sheet Loads'!$G$6/$C54,0)</f>
        <v>9</v>
      </c>
      <c r="I54" s="13">
        <f>ROUND((1-FrictionLosses)*'Vessel Sheet Loads'!$H$6/$C54,0)</f>
        <v>12</v>
      </c>
      <c r="J54" s="13">
        <f>ROUND((1-FrictionLosses)*'Vessel Sheet Loads'!$I$6/$C54,0)</f>
        <v>17</v>
      </c>
      <c r="K54" s="13">
        <f>ROUND((1-FrictionLosses)*'Vessel Sheet Loads'!$J$6/$C54,0)</f>
        <v>22</v>
      </c>
      <c r="L54" s="44">
        <f>ROUND((1-FrictionLosses)*'Vessel Sheet Loads'!$K$6/$C54,0)</f>
        <v>28</v>
      </c>
      <c r="M54" s="44">
        <f>ROUND((1-FrictionLosses)*'Vessel Sheet Loads'!$L$6/$C54,0)</f>
        <v>34</v>
      </c>
      <c r="N54" s="44">
        <f>ROUND((1-FrictionLosses)*'Vessel Sheet Loads'!$M$6/$C54,0)</f>
        <v>42</v>
      </c>
      <c r="O54" s="45">
        <f>ROUND((1-FrictionLosses)*'Vessel Sheet Loads'!$N$6/$C54,0)</f>
        <v>50</v>
      </c>
    </row>
    <row r="55" spans="1:15" ht="12.75">
      <c r="A55" s="43" t="str">
        <f>$A$16</f>
        <v>Storm Staysail</v>
      </c>
      <c r="B55" s="87" t="str">
        <f>'Select Winches'!$B$15</f>
        <v>B40.2STC</v>
      </c>
      <c r="C55" s="90">
        <f t="shared" si="9"/>
        <v>40</v>
      </c>
      <c r="D55" s="48">
        <f>(1-FrictionLosses)*'Vessel Sheet Loads'!$C$7/$C55</f>
        <v>0.24782500000000002</v>
      </c>
      <c r="E55" s="44">
        <f>ROUND((1-FrictionLosses)*'Vessel Sheet Loads'!$D$7/$C55,0)</f>
        <v>1</v>
      </c>
      <c r="F55" s="44">
        <f>ROUND((1-FrictionLosses)*'Vessel Sheet Loads'!$E$7/$C55,0)</f>
        <v>2</v>
      </c>
      <c r="G55" s="44">
        <f>ROUND((1-FrictionLosses)*'Vessel Sheet Loads'!$F$7/$C55,0)</f>
        <v>4</v>
      </c>
      <c r="H55" s="44">
        <f>ROUND((1-FrictionLosses)*'Vessel Sheet Loads'!$G$7/$C55,0)</f>
        <v>6</v>
      </c>
      <c r="I55" s="13">
        <f>ROUND((1-FrictionLosses)*'Vessel Sheet Loads'!$H$7/$C55,0)</f>
        <v>9</v>
      </c>
      <c r="J55" s="13">
        <f>ROUND((1-FrictionLosses)*'Vessel Sheet Loads'!$I$7/$C55,0)</f>
        <v>12</v>
      </c>
      <c r="K55" s="13">
        <f>ROUND((1-FrictionLosses)*'Vessel Sheet Loads'!$J$7/$C55,0)</f>
        <v>16</v>
      </c>
      <c r="L55" s="13">
        <f>ROUND((1-FrictionLosses)*'Vessel Sheet Loads'!$K$7/$C55,0)</f>
        <v>20</v>
      </c>
      <c r="M55" s="44">
        <f>ROUND((1-FrictionLosses)*'Vessel Sheet Loads'!$L$7/$C55,0)</f>
        <v>25</v>
      </c>
      <c r="N55" s="44">
        <f>ROUND((1-FrictionLosses)*'Vessel Sheet Loads'!$M$7/$C55,0)</f>
        <v>30</v>
      </c>
      <c r="O55" s="45">
        <f>ROUND((1-FrictionLosses)*'Vessel Sheet Loads'!$N$7/$C55,0)</f>
        <v>36</v>
      </c>
    </row>
    <row r="56" spans="1:15" ht="12.75">
      <c r="A56" s="43" t="str">
        <f>$A$17</f>
        <v>Asym. Cr. Spinnaker</v>
      </c>
      <c r="B56" s="87" t="str">
        <f>'Select Winches'!$B$14</f>
        <v>B56.3STC</v>
      </c>
      <c r="C56" s="90">
        <f t="shared" si="9"/>
        <v>54.73684210526316</v>
      </c>
      <c r="D56" s="223">
        <f>(1-FrictionLosses)*'Vessel Sheet Loads'!$C$8/$C56</f>
        <v>2.0393759615384615</v>
      </c>
      <c r="E56" s="13">
        <f>ROUND((1-FrictionLosses)*'Vessel Sheet Loads'!$D$8/$C56,0)</f>
        <v>8</v>
      </c>
      <c r="F56" s="13">
        <f>ROUND((1-FrictionLosses)*'Vessel Sheet Loads'!$E$8/$C56,0)</f>
        <v>18</v>
      </c>
      <c r="G56" s="44">
        <f>ROUND((1-FrictionLosses)*'Vessel Sheet Loads'!$F$8/$C56,0)</f>
        <v>33</v>
      </c>
      <c r="H56" s="44">
        <f>ROUND((1-FrictionLosses)*'Vessel Sheet Loads'!$G$8/$C56,0)</f>
        <v>51</v>
      </c>
      <c r="I56" s="44">
        <f>ROUND((1-FrictionLosses)*'Vessel Sheet Loads'!$H$8/$C56,0)</f>
        <v>73</v>
      </c>
      <c r="J56" s="44">
        <f>ROUND((1-FrictionLosses)*'Vessel Sheet Loads'!$I$8/$C56,0)</f>
        <v>100</v>
      </c>
      <c r="K56" s="44">
        <f>ROUND((1-FrictionLosses)*'Vessel Sheet Loads'!$J$8/$C56,0)</f>
        <v>131</v>
      </c>
      <c r="L56" s="44">
        <f>ROUND((1-FrictionLosses)*'Vessel Sheet Loads'!$K$8/$C56,0)</f>
        <v>165</v>
      </c>
      <c r="M56" s="44">
        <f>ROUND((1-FrictionLosses)*'Vessel Sheet Loads'!$L$8/$C56,0)</f>
        <v>204</v>
      </c>
      <c r="N56" s="44">
        <f>ROUND((1-FrictionLosses)*'Vessel Sheet Loads'!$M$8/$C56,0)</f>
        <v>247</v>
      </c>
      <c r="O56" s="45">
        <f>ROUND((1-FrictionLosses)*'Vessel Sheet Loads'!$N$8/$C56,0)</f>
        <v>294</v>
      </c>
    </row>
    <row r="57" spans="1:15" ht="12.75">
      <c r="A57" s="43" t="str">
        <f>$A$18</f>
        <v>Storm Trysail / Third Reef</v>
      </c>
      <c r="B57" s="87" t="str">
        <f>'Select Winches'!$B$15</f>
        <v>B40.2STC</v>
      </c>
      <c r="C57" s="90">
        <f t="shared" si="9"/>
        <v>40</v>
      </c>
      <c r="D57" s="223">
        <f>(1-FrictionLosses)*'Vessel Sheet Loads'!$C$24/$C57</f>
        <v>0.06700881971577272</v>
      </c>
      <c r="E57" s="13">
        <f>ROUND((1-FrictionLosses)*'Vessel Sheet Loads'!$D$24/$C57,0)</f>
        <v>0</v>
      </c>
      <c r="F57" s="13">
        <f>ROUND((1-FrictionLosses)*'Vessel Sheet Loads'!$E$24/$C57,0)</f>
        <v>1</v>
      </c>
      <c r="G57" s="44">
        <f>ROUND((1-FrictionLosses)*'Vessel Sheet Loads'!$F$24/$C57,0)</f>
        <v>1</v>
      </c>
      <c r="H57" s="44">
        <f>ROUND((1-FrictionLosses)*'Vessel Sheet Loads'!$G$24/$C57,0)</f>
        <v>2</v>
      </c>
      <c r="I57" s="44">
        <f>ROUND((1-FrictionLosses)*'Vessel Sheet Loads'!$H$24/$C57,0)</f>
        <v>2</v>
      </c>
      <c r="J57" s="44">
        <f>ROUND((1-FrictionLosses)*'Vessel Sheet Loads'!$I$24/$C57,0)</f>
        <v>3</v>
      </c>
      <c r="K57" s="44">
        <f>ROUND((1-FrictionLosses)*'Vessel Sheet Loads'!$J$24/$C57,0)</f>
        <v>4</v>
      </c>
      <c r="L57" s="44">
        <f>ROUND((1-FrictionLosses)*'Vessel Sheet Loads'!$K$24/$C57,0)</f>
        <v>5</v>
      </c>
      <c r="M57" s="44">
        <f>ROUND((1-FrictionLosses)*'Vessel Sheet Loads'!$L$24/$C57,0)</f>
        <v>7</v>
      </c>
      <c r="N57" s="44">
        <f>ROUND((1-FrictionLosses)*'Vessel Sheet Loads'!$M$24/$C57,0)</f>
        <v>8</v>
      </c>
      <c r="O57" s="45">
        <f>ROUND((1-FrictionLosses)*'Vessel Sheet Loads'!$N$24/$C57,0)</f>
        <v>10</v>
      </c>
    </row>
    <row r="58" spans="1:15" ht="13.5" thickBot="1">
      <c r="A58" s="232" t="s">
        <v>179</v>
      </c>
      <c r="B58" s="88" t="str">
        <f>'Select Winches'!$B$16</f>
        <v>B32.2STC</v>
      </c>
      <c r="C58" s="90">
        <f t="shared" si="9"/>
        <v>32</v>
      </c>
      <c r="D58" s="223">
        <f>(1-FrictionLosses)*'Vessel Sheet Loads'!$C$33/$C57</f>
        <v>0.22625686775366521</v>
      </c>
      <c r="E58" s="13">
        <f>ROUND((1-FrictionLosses)*'Vessel Sheet Loads'!D$33/$C$58,0)</f>
        <v>1</v>
      </c>
      <c r="F58" s="13">
        <f>ROUND((1-FrictionLosses)*'Vessel Sheet Loads'!E$33/$C$58,0)</f>
        <v>3</v>
      </c>
      <c r="G58" s="13">
        <f>ROUND((1-FrictionLosses)*'Vessel Sheet Loads'!F$33/$C$58,0)</f>
        <v>3</v>
      </c>
      <c r="H58" s="13">
        <f>ROUND((1-FrictionLosses)*'Vessel Sheet Loads'!G$33/$C$58,0)</f>
        <v>5</v>
      </c>
      <c r="I58" s="13">
        <f>ROUND((1-FrictionLosses)*'Vessel Sheet Loads'!H$33/$C$58,0)</f>
        <v>7</v>
      </c>
      <c r="J58" s="13">
        <f>ROUND((1-FrictionLosses)*'Vessel Sheet Loads'!I$33/$C$58,0)</f>
        <v>5</v>
      </c>
      <c r="K58" s="13">
        <f>ROUND((1-FrictionLosses)*'Vessel Sheet Loads'!J$33/$C$58,0)</f>
        <v>6</v>
      </c>
      <c r="L58" s="13">
        <f>ROUND((1-FrictionLosses)*'Vessel Sheet Loads'!K$33/$C$58,0)</f>
        <v>8</v>
      </c>
      <c r="M58" s="13">
        <f>ROUND((1-FrictionLosses)*'Vessel Sheet Loads'!L$33/$C$58,0)</f>
        <v>4</v>
      </c>
      <c r="N58" s="13">
        <f>ROUND((1-FrictionLosses)*'Vessel Sheet Loads'!M$33/$C$58,0)</f>
        <v>5</v>
      </c>
      <c r="O58" s="13">
        <f>ROUND((1-FrictionLosses)*'Vessel Sheet Loads'!N$33/$C$58,0)</f>
        <v>6</v>
      </c>
    </row>
    <row r="59" spans="2:15" ht="13.5" thickBot="1">
      <c r="B59" s="18"/>
      <c r="D59" s="94"/>
      <c r="E59" s="55"/>
      <c r="F59" s="55"/>
      <c r="G59" s="55"/>
      <c r="H59" s="99"/>
      <c r="I59" s="99"/>
      <c r="J59" s="99"/>
      <c r="K59" s="99"/>
      <c r="L59" s="99"/>
      <c r="M59" s="99"/>
      <c r="N59" s="99"/>
      <c r="O59" s="100"/>
    </row>
    <row r="60" spans="1:15" ht="22.5" customHeight="1">
      <c r="A60" s="319" t="s">
        <v>0</v>
      </c>
      <c r="B60" s="321" t="s">
        <v>5</v>
      </c>
      <c r="C60" s="19" t="s">
        <v>44</v>
      </c>
      <c r="D60" s="254" t="s">
        <v>70</v>
      </c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6"/>
    </row>
    <row r="61" spans="1:15" ht="23.25" thickBot="1">
      <c r="A61" s="320"/>
      <c r="B61" s="322"/>
      <c r="C61" s="20" t="s">
        <v>17</v>
      </c>
      <c r="D61" s="10">
        <v>5</v>
      </c>
      <c r="E61" s="11">
        <f aca="true" t="shared" si="10" ref="E61:O61">D61+5</f>
        <v>10</v>
      </c>
      <c r="F61" s="11">
        <f t="shared" si="10"/>
        <v>15</v>
      </c>
      <c r="G61" s="11">
        <f t="shared" si="10"/>
        <v>20</v>
      </c>
      <c r="H61" s="11">
        <f t="shared" si="10"/>
        <v>25</v>
      </c>
      <c r="I61" s="11">
        <f t="shared" si="10"/>
        <v>30</v>
      </c>
      <c r="J61" s="11">
        <f t="shared" si="10"/>
        <v>35</v>
      </c>
      <c r="K61" s="11">
        <f t="shared" si="10"/>
        <v>40</v>
      </c>
      <c r="L61" s="11">
        <f t="shared" si="10"/>
        <v>45</v>
      </c>
      <c r="M61" s="11">
        <f t="shared" si="10"/>
        <v>50</v>
      </c>
      <c r="N61" s="11">
        <f t="shared" si="10"/>
        <v>55</v>
      </c>
      <c r="O61" s="12">
        <f t="shared" si="10"/>
        <v>60</v>
      </c>
    </row>
    <row r="62" spans="1:15" ht="13.5" customHeight="1">
      <c r="A62" s="43" t="str">
        <f>$A$13</f>
        <v>Furling Genoa</v>
      </c>
      <c r="B62" s="86" t="str">
        <f>'Select Winches'!$B$20</f>
        <v>54CST</v>
      </c>
      <c r="C62" s="50">
        <f aca="true" t="shared" si="11" ref="C62:C68">VLOOKUP(B62,LewmarSpecs,5)*2*LenHandle/VLOOKUP(B62,LewmarSpecs,10)</f>
        <v>54.303030303030305</v>
      </c>
      <c r="D62" s="222">
        <f>(1-FrictionLosses)*'Vessel Sheet Loads'!$C$4/$C62</f>
        <v>0.7613114732142857</v>
      </c>
      <c r="E62" s="55">
        <f>ROUND((1-FrictionLosses)*'Vessel Sheet Loads'!$D$4/$C62,0)</f>
        <v>3</v>
      </c>
      <c r="F62" s="55">
        <f>ROUND((1-FrictionLosses)*'Vessel Sheet Loads'!$E$4/$C62,0)</f>
        <v>7</v>
      </c>
      <c r="G62" s="55">
        <f>ROUND((1-FrictionLosses)*'Vessel Sheet Loads'!$F$4/$C62,0)</f>
        <v>12</v>
      </c>
      <c r="H62" s="56">
        <f>ROUND((1-FrictionLosses)*'Vessel Sheet Loads'!$G$4/$C62,0)</f>
        <v>19</v>
      </c>
      <c r="I62" s="56">
        <f>ROUND((1-FrictionLosses)*'Vessel Sheet Loads'!$H$4/$C62,0)</f>
        <v>27</v>
      </c>
      <c r="J62" s="56">
        <f>ROUND((1-FrictionLosses)*'Vessel Sheet Loads'!$I$4/$C62,0)</f>
        <v>37</v>
      </c>
      <c r="K62" s="56">
        <f>ROUND((1-FrictionLosses)*'Vessel Sheet Loads'!$J$4/$C62,0)</f>
        <v>49</v>
      </c>
      <c r="L62" s="56">
        <f>ROUND((1-FrictionLosses)*'Vessel Sheet Loads'!$K$4/$C62,0)</f>
        <v>62</v>
      </c>
      <c r="M62" s="56">
        <f>ROUND((1-FrictionLosses)*'Vessel Sheet Loads'!$L$4/$C62,0)</f>
        <v>76</v>
      </c>
      <c r="N62" s="56">
        <f>ROUND((1-FrictionLosses)*'Vessel Sheet Loads'!$M$4/$C62,0)</f>
        <v>92</v>
      </c>
      <c r="O62" s="57">
        <f>ROUND((1-FrictionLosses)*'Vessel Sheet Loads'!$N$4/$C62,0)</f>
        <v>110</v>
      </c>
    </row>
    <row r="63" spans="1:15" ht="12.75">
      <c r="A63" s="43" t="str">
        <f>$A$14</f>
        <v>Genoa Part Furled (100%)</v>
      </c>
      <c r="B63" s="87" t="str">
        <f>'Select Winches'!$B$20</f>
        <v>54CST</v>
      </c>
      <c r="C63" s="90">
        <f t="shared" si="11"/>
        <v>54.303030303030305</v>
      </c>
      <c r="D63" s="48">
        <f>(1-FrictionLosses)*'Vessel Sheet Loads'!$C$5/$C63</f>
        <v>0.6111445312499999</v>
      </c>
      <c r="E63" s="44">
        <f>ROUND((1-FrictionLosses)*'Vessel Sheet Loads'!$D$5/$C63,0)</f>
        <v>2</v>
      </c>
      <c r="F63" s="13">
        <f>ROUND((1-FrictionLosses)*'Vessel Sheet Loads'!$E$5/$C63,0)</f>
        <v>6</v>
      </c>
      <c r="G63" s="13">
        <f>ROUND((1-FrictionLosses)*'Vessel Sheet Loads'!$F$5/$C63,0)</f>
        <v>10</v>
      </c>
      <c r="H63" s="13">
        <f>ROUND((1-FrictionLosses)*'Vessel Sheet Loads'!$G$5/$C63,0)</f>
        <v>15</v>
      </c>
      <c r="I63" s="13">
        <f>ROUND((1-FrictionLosses)*'Vessel Sheet Loads'!$H$5/$C63,0)</f>
        <v>22</v>
      </c>
      <c r="J63" s="44">
        <f>ROUND((1-FrictionLosses)*'Vessel Sheet Loads'!$I$5/$C63,0)</f>
        <v>30</v>
      </c>
      <c r="K63" s="44">
        <f>ROUND((1-FrictionLosses)*'Vessel Sheet Loads'!$J$5/$C63,0)</f>
        <v>39</v>
      </c>
      <c r="L63" s="44">
        <f>ROUND((1-FrictionLosses)*'Vessel Sheet Loads'!$K$5/$C63,0)</f>
        <v>50</v>
      </c>
      <c r="M63" s="44">
        <f>ROUND((1-FrictionLosses)*'Vessel Sheet Loads'!$L$5/$C63,0)</f>
        <v>61</v>
      </c>
      <c r="N63" s="44">
        <f>ROUND((1-FrictionLosses)*'Vessel Sheet Loads'!$M$5/$C63,0)</f>
        <v>74</v>
      </c>
      <c r="O63" s="45">
        <f>ROUND((1-FrictionLosses)*'Vessel Sheet Loads'!$N$5/$C63,0)</f>
        <v>88</v>
      </c>
    </row>
    <row r="64" spans="1:15" ht="12.75">
      <c r="A64" s="43" t="str">
        <f>$A$15</f>
        <v>Working Staysail</v>
      </c>
      <c r="B64" s="87" t="str">
        <f>'Select Winches'!$B$21</f>
        <v>40CST</v>
      </c>
      <c r="C64" s="90">
        <f t="shared" si="11"/>
        <v>40</v>
      </c>
      <c r="D64" s="48">
        <f>(1-FrictionLosses)*'Vessel Sheet Loads'!$C$6/$C64</f>
        <v>0.3448</v>
      </c>
      <c r="E64" s="13">
        <f>ROUND((1-FrictionLosses)*'Vessel Sheet Loads'!$D$6/$C64,0)</f>
        <v>1</v>
      </c>
      <c r="F64" s="13">
        <f>ROUND((1-FrictionLosses)*'Vessel Sheet Loads'!$E$6/$C64,0)</f>
        <v>3</v>
      </c>
      <c r="G64" s="13">
        <f>ROUND((1-FrictionLosses)*'Vessel Sheet Loads'!$F$6/$C64,0)</f>
        <v>6</v>
      </c>
      <c r="H64" s="13">
        <f>ROUND((1-FrictionLosses)*'Vessel Sheet Loads'!$G$6/$C64,0)</f>
        <v>9</v>
      </c>
      <c r="I64" s="13">
        <f>ROUND((1-FrictionLosses)*'Vessel Sheet Loads'!$H$6/$C64,0)</f>
        <v>12</v>
      </c>
      <c r="J64" s="13">
        <f>ROUND((1-FrictionLosses)*'Vessel Sheet Loads'!$I$6/$C64,0)</f>
        <v>17</v>
      </c>
      <c r="K64" s="13">
        <f>ROUND((1-FrictionLosses)*'Vessel Sheet Loads'!$J$6/$C64,0)</f>
        <v>22</v>
      </c>
      <c r="L64" s="44">
        <f>ROUND((1-FrictionLosses)*'Vessel Sheet Loads'!$K$6/$C64,0)</f>
        <v>28</v>
      </c>
      <c r="M64" s="44">
        <f>ROUND((1-FrictionLosses)*'Vessel Sheet Loads'!$L$6/$C64,0)</f>
        <v>34</v>
      </c>
      <c r="N64" s="44">
        <f>ROUND((1-FrictionLosses)*'Vessel Sheet Loads'!$M$6/$C64,0)</f>
        <v>42</v>
      </c>
      <c r="O64" s="45">
        <f>ROUND((1-FrictionLosses)*'Vessel Sheet Loads'!$N$6/$C64,0)</f>
        <v>50</v>
      </c>
    </row>
    <row r="65" spans="1:15" ht="12.75">
      <c r="A65" s="43" t="str">
        <f>$A$16</f>
        <v>Storm Staysail</v>
      </c>
      <c r="B65" s="87" t="str">
        <f>'Select Winches'!$B$21</f>
        <v>40CST</v>
      </c>
      <c r="C65" s="90">
        <f t="shared" si="11"/>
        <v>40</v>
      </c>
      <c r="D65" s="48">
        <f>(1-FrictionLosses)*'Vessel Sheet Loads'!$C$7/$C65</f>
        <v>0.24782500000000002</v>
      </c>
      <c r="E65" s="44">
        <f>ROUND((1-FrictionLosses)*'Vessel Sheet Loads'!$D$7/$C65,0)</f>
        <v>1</v>
      </c>
      <c r="F65" s="44">
        <f>ROUND((1-FrictionLosses)*'Vessel Sheet Loads'!$E$7/$C65,0)</f>
        <v>2</v>
      </c>
      <c r="G65" s="44">
        <f>ROUND((1-FrictionLosses)*'Vessel Sheet Loads'!$F$7/$C65,0)</f>
        <v>4</v>
      </c>
      <c r="H65" s="44">
        <f>ROUND((1-FrictionLosses)*'Vessel Sheet Loads'!$G$7/$C65,0)</f>
        <v>6</v>
      </c>
      <c r="I65" s="13">
        <f>ROUND((1-FrictionLosses)*'Vessel Sheet Loads'!$H$7/$C65,0)</f>
        <v>9</v>
      </c>
      <c r="J65" s="13">
        <f>ROUND((1-FrictionLosses)*'Vessel Sheet Loads'!$I$7/$C65,0)</f>
        <v>12</v>
      </c>
      <c r="K65" s="13">
        <f>ROUND((1-FrictionLosses)*'Vessel Sheet Loads'!$J$7/$C65,0)</f>
        <v>16</v>
      </c>
      <c r="L65" s="13">
        <f>ROUND((1-FrictionLosses)*'Vessel Sheet Loads'!$K$7/$C65,0)</f>
        <v>20</v>
      </c>
      <c r="M65" s="44">
        <f>ROUND((1-FrictionLosses)*'Vessel Sheet Loads'!$L$7/$C65,0)</f>
        <v>25</v>
      </c>
      <c r="N65" s="44">
        <f>ROUND((1-FrictionLosses)*'Vessel Sheet Loads'!$M$7/$C65,0)</f>
        <v>30</v>
      </c>
      <c r="O65" s="45">
        <f>ROUND((1-FrictionLosses)*'Vessel Sheet Loads'!$N$7/$C65,0)</f>
        <v>36</v>
      </c>
    </row>
    <row r="66" spans="1:15" ht="12.75">
      <c r="A66" s="43" t="str">
        <f>$A$17</f>
        <v>Asym. Cr. Spinnaker</v>
      </c>
      <c r="B66" s="87" t="str">
        <f>'Select Winches'!$B$21</f>
        <v>40CST</v>
      </c>
      <c r="C66" s="90">
        <f t="shared" si="11"/>
        <v>40</v>
      </c>
      <c r="D66" s="223">
        <f>(1-FrictionLosses)*'Vessel Sheet Loads'!$C$8/$C66</f>
        <v>2.790725</v>
      </c>
      <c r="E66" s="13">
        <f>ROUND((1-FrictionLosses)*'Vessel Sheet Loads'!$D$8/$C66,0)</f>
        <v>11</v>
      </c>
      <c r="F66" s="13">
        <f>ROUND((1-FrictionLosses)*'Vessel Sheet Loads'!$E$8/$C66,0)</f>
        <v>25</v>
      </c>
      <c r="G66" s="44">
        <f>ROUND((1-FrictionLosses)*'Vessel Sheet Loads'!$F$8/$C66,0)</f>
        <v>45</v>
      </c>
      <c r="H66" s="44">
        <f>ROUND((1-FrictionLosses)*'Vessel Sheet Loads'!$G$8/$C66,0)</f>
        <v>70</v>
      </c>
      <c r="I66" s="44">
        <f>ROUND((1-FrictionLosses)*'Vessel Sheet Loads'!$H$8/$C66,0)</f>
        <v>100</v>
      </c>
      <c r="J66" s="44">
        <f>ROUND((1-FrictionLosses)*'Vessel Sheet Loads'!$I$8/$C66,0)</f>
        <v>137</v>
      </c>
      <c r="K66" s="44">
        <f>ROUND((1-FrictionLosses)*'Vessel Sheet Loads'!$J$8/$C66,0)</f>
        <v>179</v>
      </c>
      <c r="L66" s="44">
        <f>ROUND((1-FrictionLosses)*'Vessel Sheet Loads'!$K$8/$C66,0)</f>
        <v>226</v>
      </c>
      <c r="M66" s="44">
        <f>ROUND((1-FrictionLosses)*'Vessel Sheet Loads'!$L$8/$C66,0)</f>
        <v>279</v>
      </c>
      <c r="N66" s="44">
        <f>ROUND((1-FrictionLosses)*'Vessel Sheet Loads'!$M$8/$C66,0)</f>
        <v>338</v>
      </c>
      <c r="O66" s="45">
        <f>ROUND((1-FrictionLosses)*'Vessel Sheet Loads'!$N$8/$C66,0)</f>
        <v>402</v>
      </c>
    </row>
    <row r="67" spans="1:15" ht="13.5" thickBot="1">
      <c r="A67" s="46" t="str">
        <f>$A$18</f>
        <v>Storm Trysail / Third Reef</v>
      </c>
      <c r="B67" s="88" t="str">
        <f>'Select Winches'!$B$21</f>
        <v>40CST</v>
      </c>
      <c r="C67" s="91">
        <f t="shared" si="11"/>
        <v>40</v>
      </c>
      <c r="D67" s="47">
        <f>(1-FrictionLosses)*'Vessel Sheet Loads'!$C$24/$C67</f>
        <v>0.06700881971577272</v>
      </c>
      <c r="E67" s="47">
        <f>ROUND((1-FrictionLosses)*'Vessel Sheet Loads'!$D$24/$C67,0)</f>
        <v>0</v>
      </c>
      <c r="F67" s="47">
        <f>ROUND((1-FrictionLosses)*'Vessel Sheet Loads'!$E$24/$C67,0)</f>
        <v>1</v>
      </c>
      <c r="G67" s="47">
        <f>ROUND((1-FrictionLosses)*'Vessel Sheet Loads'!$F$24/$C67,0)</f>
        <v>1</v>
      </c>
      <c r="H67" s="47">
        <f>ROUND((1-FrictionLosses)*'Vessel Sheet Loads'!$G$24/$C67,0)</f>
        <v>2</v>
      </c>
      <c r="I67" s="47">
        <f>ROUND((1-FrictionLosses)*'Vessel Sheet Loads'!$H$24/$C67,0)</f>
        <v>2</v>
      </c>
      <c r="J67" s="47">
        <f>ROUND((1-FrictionLosses)*'Vessel Sheet Loads'!$I$24/$C67,0)</f>
        <v>3</v>
      </c>
      <c r="K67" s="14">
        <f>ROUND((1-FrictionLosses)*'Vessel Sheet Loads'!$J$24/$C67,0)</f>
        <v>4</v>
      </c>
      <c r="L67" s="14">
        <f>ROUND((1-FrictionLosses)*'Vessel Sheet Loads'!$K$24/$C67,0)</f>
        <v>5</v>
      </c>
      <c r="M67" s="14">
        <f>ROUND((1-FrictionLosses)*'Vessel Sheet Loads'!$L$24/$C67,0)</f>
        <v>7</v>
      </c>
      <c r="N67" s="14">
        <f>ROUND((1-FrictionLosses)*'Vessel Sheet Loads'!$M$24/$C67,0)</f>
        <v>8</v>
      </c>
      <c r="O67" s="14">
        <f>ROUND((1-FrictionLosses)*'Vessel Sheet Loads'!$N$24/$C67,0)</f>
        <v>10</v>
      </c>
    </row>
    <row r="68" spans="1:15" ht="13.5" thickBot="1">
      <c r="A68" s="232" t="s">
        <v>179</v>
      </c>
      <c r="B68" s="88" t="str">
        <f>'Select Winches'!$B$22</f>
        <v>30CST</v>
      </c>
      <c r="C68" s="91">
        <f t="shared" si="11"/>
        <v>28.595744680851062</v>
      </c>
      <c r="D68" s="223">
        <f>(1-FrictionLosses)*'Vessel Sheet Loads'!$C$33/$C67</f>
        <v>0.22625686775366521</v>
      </c>
      <c r="E68" s="13">
        <f>ROUND((1-FrictionLosses)*'Vessel Sheet Loads'!D$33/$C$58,0)</f>
        <v>1</v>
      </c>
      <c r="F68" s="13">
        <f>ROUND((1-FrictionLosses)*'Vessel Sheet Loads'!E$33/$C$58,0)</f>
        <v>3</v>
      </c>
      <c r="G68" s="13">
        <f>ROUND((1-FrictionLosses)*'Vessel Sheet Loads'!F$33/$C$58,0)</f>
        <v>3</v>
      </c>
      <c r="H68" s="13">
        <f>ROUND((1-FrictionLosses)*'Vessel Sheet Loads'!G$33/$C$58,0)</f>
        <v>5</v>
      </c>
      <c r="I68" s="13">
        <f>ROUND((1-FrictionLosses)*'Vessel Sheet Loads'!H$33/$C$58,0)</f>
        <v>7</v>
      </c>
      <c r="J68" s="13">
        <f>ROUND((1-FrictionLosses)*'Vessel Sheet Loads'!I$33/$C$58,0)</f>
        <v>5</v>
      </c>
      <c r="K68" s="13">
        <f>ROUND((1-FrictionLosses)*'Vessel Sheet Loads'!J$33/$C$58,0)</f>
        <v>6</v>
      </c>
      <c r="L68" s="13">
        <f>ROUND((1-FrictionLosses)*'Vessel Sheet Loads'!K$33/$C$58,0)</f>
        <v>8</v>
      </c>
      <c r="M68" s="13">
        <f>ROUND((1-FrictionLosses)*'Vessel Sheet Loads'!L$33/$C$58,0)</f>
        <v>4</v>
      </c>
      <c r="N68" s="13">
        <f>ROUND((1-FrictionLosses)*'Vessel Sheet Loads'!M$33/$C$58,0)</f>
        <v>5</v>
      </c>
      <c r="O68" s="13">
        <f>ROUND((1-FrictionLosses)*'Vessel Sheet Loads'!N$33/$C$58,0)</f>
        <v>6</v>
      </c>
    </row>
    <row r="69" ht="13.5" thickBot="1"/>
    <row r="70" spans="1:15" ht="24" thickBot="1">
      <c r="A70" s="305" t="s">
        <v>159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7"/>
    </row>
    <row r="71" ht="3" customHeight="1" thickBot="1"/>
    <row r="72" spans="1:15" ht="21.75" customHeight="1">
      <c r="A72" s="319" t="s">
        <v>0</v>
      </c>
      <c r="B72" s="321" t="s">
        <v>5</v>
      </c>
      <c r="C72" s="16" t="s">
        <v>85</v>
      </c>
      <c r="D72" s="254" t="s">
        <v>158</v>
      </c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6"/>
    </row>
    <row r="73" spans="1:15" ht="23.25" thickBot="1">
      <c r="A73" s="320"/>
      <c r="B73" s="325"/>
      <c r="C73" s="9" t="s">
        <v>17</v>
      </c>
      <c r="D73" s="10">
        <v>5</v>
      </c>
      <c r="E73" s="11">
        <f aca="true" t="shared" si="12" ref="E73:O73">D73+5</f>
        <v>10</v>
      </c>
      <c r="F73" s="11">
        <f t="shared" si="12"/>
        <v>15</v>
      </c>
      <c r="G73" s="11">
        <f t="shared" si="12"/>
        <v>20</v>
      </c>
      <c r="H73" s="11">
        <f t="shared" si="12"/>
        <v>25</v>
      </c>
      <c r="I73" s="11">
        <f t="shared" si="12"/>
        <v>30</v>
      </c>
      <c r="J73" s="11">
        <f t="shared" si="12"/>
        <v>35</v>
      </c>
      <c r="K73" s="11">
        <f t="shared" si="12"/>
        <v>40</v>
      </c>
      <c r="L73" s="11">
        <f t="shared" si="12"/>
        <v>45</v>
      </c>
      <c r="M73" s="11">
        <f t="shared" si="12"/>
        <v>50</v>
      </c>
      <c r="N73" s="11">
        <f t="shared" si="12"/>
        <v>55</v>
      </c>
      <c r="O73" s="12">
        <f t="shared" si="12"/>
        <v>60</v>
      </c>
    </row>
    <row r="74" spans="1:15" ht="12.75">
      <c r="A74" s="43" t="str">
        <f>$A$13</f>
        <v>Furling Genoa</v>
      </c>
      <c r="B74" s="42" t="str">
        <f>'Select Winches'!$B$14</f>
        <v>B56.3STC</v>
      </c>
      <c r="C74" s="50">
        <f>VLOOKUP(B74,HarkenSpecs,6)*2*LenHandle/VLOOKUP(B74,HarkenSpecs,10)</f>
        <v>9.263157894736842</v>
      </c>
      <c r="D74" s="94">
        <f>(1-FrictionLosses)*'Vessel Sheet Loads'!C$4/$C74</f>
        <v>4.463005</v>
      </c>
      <c r="E74" s="55">
        <f>(1-FrictionLosses)*'Vessel Sheet Loads'!D$4/$C74</f>
        <v>17.85202</v>
      </c>
      <c r="F74" s="55">
        <f>(1-FrictionLosses)*'Vessel Sheet Loads'!E$4/$C74</f>
        <v>40.167044999999995</v>
      </c>
      <c r="G74" s="55">
        <f>(1-FrictionLosses)*'Vessel Sheet Loads'!F$4/$C74</f>
        <v>71.40808</v>
      </c>
      <c r="H74" s="56">
        <f>(1-FrictionLosses)*'Vessel Sheet Loads'!G$4/$C74</f>
        <v>111.575125</v>
      </c>
      <c r="I74" s="56">
        <f>(1-FrictionLosses)*'Vessel Sheet Loads'!H$4/$C74</f>
        <v>160.66817999999998</v>
      </c>
      <c r="J74" s="56">
        <f>(1-FrictionLosses)*'Vessel Sheet Loads'!I$4/$C74</f>
        <v>218.687245</v>
      </c>
      <c r="K74" s="56">
        <f>(1-FrictionLosses)*'Vessel Sheet Loads'!J$4/$C74</f>
        <v>285.63232</v>
      </c>
      <c r="L74" s="56">
        <f>(1-FrictionLosses)*'Vessel Sheet Loads'!K$4/$C74</f>
        <v>361.50340499999993</v>
      </c>
      <c r="M74" s="56">
        <f>(1-FrictionLosses)*'Vessel Sheet Loads'!L$4/$C74</f>
        <v>446.3005</v>
      </c>
      <c r="N74" s="56">
        <f>(1-FrictionLosses)*'Vessel Sheet Loads'!M$4/$C74</f>
        <v>540.023605</v>
      </c>
      <c r="O74" s="57">
        <f>(1-FrictionLosses)*'Vessel Sheet Loads'!N$4/$C74</f>
        <v>642.6727199999999</v>
      </c>
    </row>
    <row r="75" spans="1:15" ht="12.75">
      <c r="A75" s="43" t="str">
        <f>$A$14</f>
        <v>Genoa Part Furled (100%)</v>
      </c>
      <c r="B75" s="84" t="str">
        <f>'Select Winches'!$B$14</f>
        <v>B56.3STC</v>
      </c>
      <c r="C75" s="90">
        <f>VLOOKUP(B75,HarkenSpecs,6)*2*LenHandle/VLOOKUP(B75,HarkenSpecs,10)</f>
        <v>9.263157894736842</v>
      </c>
      <c r="D75" s="48">
        <f>(1-FrictionLosses)*'Vessel Sheet Loads'!C$5/$C75</f>
        <v>3.5826874999999996</v>
      </c>
      <c r="E75" s="44">
        <f>(1-FrictionLosses)*'Vessel Sheet Loads'!D$5/$C75</f>
        <v>14.330749999999998</v>
      </c>
      <c r="F75" s="13">
        <f>(1-FrictionLosses)*'Vessel Sheet Loads'!E$5/$C75</f>
        <v>32.244187499999995</v>
      </c>
      <c r="G75" s="13">
        <f>(1-FrictionLosses)*'Vessel Sheet Loads'!F$5/$C75</f>
        <v>57.32299999999999</v>
      </c>
      <c r="H75" s="13">
        <f>(1-FrictionLosses)*'Vessel Sheet Loads'!G$5/$C75</f>
        <v>89.5671875</v>
      </c>
      <c r="I75" s="13">
        <f>(1-FrictionLosses)*'Vessel Sheet Loads'!H$5/$C75</f>
        <v>128.97674999999998</v>
      </c>
      <c r="J75" s="44">
        <f>(1-FrictionLosses)*'Vessel Sheet Loads'!I$5/$C75</f>
        <v>175.55168749999999</v>
      </c>
      <c r="K75" s="44">
        <f>(1-FrictionLosses)*'Vessel Sheet Loads'!J$5/$C75</f>
        <v>229.29199999999997</v>
      </c>
      <c r="L75" s="44">
        <f>(1-FrictionLosses)*'Vessel Sheet Loads'!K$5/$C75</f>
        <v>290.1976875</v>
      </c>
      <c r="M75" s="44">
        <f>(1-FrictionLosses)*'Vessel Sheet Loads'!L$5/$C75</f>
        <v>358.26875</v>
      </c>
      <c r="N75" s="44">
        <f>(1-FrictionLosses)*'Vessel Sheet Loads'!M$5/$C75</f>
        <v>433.5051875</v>
      </c>
      <c r="O75" s="45">
        <f>(1-FrictionLosses)*'Vessel Sheet Loads'!N$5/$C75</f>
        <v>515.9069999999999</v>
      </c>
    </row>
    <row r="76" spans="1:15" ht="13.5" thickBot="1">
      <c r="A76" s="46" t="str">
        <f>$A$18</f>
        <v>Storm Trysail / Third Reef</v>
      </c>
      <c r="B76" s="85" t="str">
        <f>'Select Winches'!$B$14</f>
        <v>B56.3STC</v>
      </c>
      <c r="C76" s="91">
        <f>VLOOKUP(B76,HarkenSpecs,6)*2*LenHandle/VLOOKUP(B76,HarkenSpecs,10)</f>
        <v>9.263157894736842</v>
      </c>
      <c r="D76" s="47">
        <f>(1-FrictionLosses)*'Vessel Sheet Loads'!C$24/$C76</f>
        <v>0.2893562669544731</v>
      </c>
      <c r="E76" s="47">
        <f>(1-FrictionLosses)*'Vessel Sheet Loads'!D$24/$C76</f>
        <v>1.1574250678178923</v>
      </c>
      <c r="F76" s="47">
        <f>(1-FrictionLosses)*'Vessel Sheet Loads'!E$24/$C76</f>
        <v>2.604206402590257</v>
      </c>
      <c r="G76" s="47">
        <f>(1-FrictionLosses)*'Vessel Sheet Loads'!F$24/$C76</f>
        <v>4.629700271271569</v>
      </c>
      <c r="H76" s="47">
        <f>(1-FrictionLosses)*'Vessel Sheet Loads'!G$24/$C76</f>
        <v>7.233906673861825</v>
      </c>
      <c r="I76" s="47">
        <f>(1-FrictionLosses)*'Vessel Sheet Loads'!H$24/$C76</f>
        <v>10.416825610361029</v>
      </c>
      <c r="J76" s="47">
        <f>(1-FrictionLosses)*'Vessel Sheet Loads'!I$24/$C76</f>
        <v>14.178457080769176</v>
      </c>
      <c r="K76" s="14">
        <f>(1-FrictionLosses)*'Vessel Sheet Loads'!J$24/$C76</f>
        <v>18.518801085086277</v>
      </c>
      <c r="L76" s="14">
        <f>(1-FrictionLosses)*'Vessel Sheet Loads'!K$24/$C76</f>
        <v>23.437857623312315</v>
      </c>
      <c r="M76" s="14">
        <f>(1-FrictionLosses)*'Vessel Sheet Loads'!L$24/$C76</f>
        <v>28.9356266954473</v>
      </c>
      <c r="N76" s="14">
        <f>(1-FrictionLosses)*'Vessel Sheet Loads'!M$24/$C76</f>
        <v>35.01210830149124</v>
      </c>
      <c r="O76" s="14">
        <f>(1-FrictionLosses)*'Vessel Sheet Loads'!N$24/$C76</f>
        <v>41.667302441444114</v>
      </c>
    </row>
  </sheetData>
  <sheetProtection/>
  <mergeCells count="30">
    <mergeCell ref="A60:A61"/>
    <mergeCell ref="D60:O60"/>
    <mergeCell ref="C4:I4"/>
    <mergeCell ref="A38:O38"/>
    <mergeCell ref="C5:M5"/>
    <mergeCell ref="A6:I6"/>
    <mergeCell ref="A20:A21"/>
    <mergeCell ref="B20:B21"/>
    <mergeCell ref="B11:B12"/>
    <mergeCell ref="A7:I7"/>
    <mergeCell ref="A2:M2"/>
    <mergeCell ref="A72:A73"/>
    <mergeCell ref="B72:B73"/>
    <mergeCell ref="D50:O50"/>
    <mergeCell ref="A50:A51"/>
    <mergeCell ref="B60:B61"/>
    <mergeCell ref="B50:B51"/>
    <mergeCell ref="D72:O72"/>
    <mergeCell ref="A70:O70"/>
    <mergeCell ref="D29:O29"/>
    <mergeCell ref="A1:O1"/>
    <mergeCell ref="D20:O20"/>
    <mergeCell ref="A40:A41"/>
    <mergeCell ref="D40:O40"/>
    <mergeCell ref="A11:A12"/>
    <mergeCell ref="D11:O11"/>
    <mergeCell ref="A29:A30"/>
    <mergeCell ref="B40:B41"/>
    <mergeCell ref="B29:B30"/>
    <mergeCell ref="A9:O9"/>
  </mergeCells>
  <conditionalFormatting sqref="F23:I23 E24:K24 I25:L25 K27:O27 F14:I14 D22:G22 E15:K15 I16:L16 K18:O18 D13:G13 F53:I53 D17:F17 F32:I32 E33:K33 I34:L34 K36:O36 D26:F26 D31:G31 F43:I43 E54:K54 E44:K44 E59:K59 I60:L60 K80:O80 D74:G74 I45:L45 D68:O68 K70:O70 D42:G42 D37:F37 D58:O58 K76:O76 I72:L72 D66:F66 D73:F73 F79:I79 D78:G78 D35:F35 K38:O38 E69:K69 D46:F46 F75:I75 D52:G52 F63:I63 E64:K64 I65:L65 I55:K55 D62:G62 D56:F57 K67:O67 K47:O47 D48:O48">
    <cfRule type="expression" priority="1" dxfId="2" stopIfTrue="1">
      <formula>D13&gt;MaxHandleLoad</formula>
    </cfRule>
  </conditionalFormatting>
  <conditionalFormatting sqref="E23 G26:L26 H22:O22 J23:O23 L24:O24 M25:O26 E25:H25 D27:J27 E14 G17:L17 H13:O13 J14:O14 L15:O15 M16:O17 E16:H16 D18:J18 D14:D16 E53 E32 G35:L35 H31:O31 J32:O32 L33:O33 M34:O35 E34:H34 D36:J36 D23:D25 D38:J38 G56:L56 M60:O60 D72:H72 H52:O52 D70:J70 L59:O59 D75:E75 E60:H60 D80:J80 E43 M65:O66 E65:H65 G66:L66 G57:O57 L69:O69 J53:O53 G73:L73 L54:O54 D76:J76 M72:O73 J79:O79 D79:E79 H78:O78 D32:D34 G37:O37 H62:O62 D59:D60 J63:O63 L64:O64 M55:O56 H74:O74 J75:O75 D69 E55:H55 D63:D65 D53:D55 E63 D67:J67">
    <cfRule type="expression" priority="2" dxfId="1" stopIfTrue="1">
      <formula>D13&gt;MaxHandleLoad</formula>
    </cfRule>
  </conditionalFormatting>
  <conditionalFormatting sqref="L55">
    <cfRule type="expression" priority="3" dxfId="2" stopIfTrue="1">
      <formula>L55&gt;MaxHandleLoad</formula>
    </cfRule>
  </conditionalFormatting>
  <conditionalFormatting sqref="L44 J43:L43 H42:L42 M42:O45 D43:D45 G46:O46 E45:H45 D47:J47">
    <cfRule type="expression" priority="4" dxfId="3" stopIfTrue="1">
      <formula>D42&lt;=MaxHandleLoad</formula>
    </cfRule>
  </conditionalFormatting>
  <dataValidations count="3">
    <dataValidation type="whole" allowBlank="1" showInputMessage="1" showErrorMessage="1" sqref="B3">
      <formula1>8</formula1>
      <formula2>16</formula2>
    </dataValidation>
    <dataValidation type="whole" allowBlank="1" showInputMessage="1" showErrorMessage="1" sqref="B4">
      <formula1>10</formula1>
      <formula2>50</formula2>
    </dataValidation>
    <dataValidation type="decimal" allowBlank="1" showInputMessage="1" showErrorMessage="1" sqref="B5">
      <formula1>0</formula1>
      <formula2>0.5</formula2>
    </dataValidation>
  </dataValidations>
  <printOptions/>
  <pageMargins left="0.75" right="0.75" top="1" bottom="1" header="0.5" footer="0.5"/>
  <pageSetup horizontalDpi="600" verticalDpi="600" orientation="landscape" scale="80" r:id="rId1"/>
  <headerFooter alignWithMargins="0">
    <oddFooter>&amp;CPage &amp;P of 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8"/>
  <sheetViews>
    <sheetView workbookViewId="0" topLeftCell="A4">
      <selection activeCell="E8" sqref="E8"/>
    </sheetView>
  </sheetViews>
  <sheetFormatPr defaultColWidth="9.140625" defaultRowHeight="12.75"/>
  <cols>
    <col min="1" max="1" width="24.421875" style="0" customWidth="1"/>
    <col min="2" max="2" width="13.28125" style="101" bestFit="1" customWidth="1"/>
    <col min="3" max="3" width="11.28125" style="0" bestFit="1" customWidth="1"/>
    <col min="4" max="4" width="10.28125" style="163" bestFit="1" customWidth="1"/>
    <col min="5" max="5" width="11.140625" style="0" customWidth="1"/>
    <col min="6" max="6" width="10.28125" style="0" bestFit="1" customWidth="1"/>
    <col min="7" max="7" width="10.28125" style="0" customWidth="1"/>
    <col min="9" max="9" width="10.28125" style="0" bestFit="1" customWidth="1"/>
  </cols>
  <sheetData>
    <row r="1" spans="1:10" ht="24" thickBot="1">
      <c r="A1" s="305" t="s">
        <v>165</v>
      </c>
      <c r="B1" s="306"/>
      <c r="C1" s="306"/>
      <c r="D1" s="306"/>
      <c r="E1" s="306"/>
      <c r="F1" s="306"/>
      <c r="G1" s="306"/>
      <c r="H1" s="175"/>
      <c r="I1" s="175"/>
      <c r="J1" s="176"/>
    </row>
    <row r="2" ht="6.75" customHeight="1" thickBot="1"/>
    <row r="3" spans="1:9" ht="13.5" customHeight="1">
      <c r="A3" s="328" t="s">
        <v>138</v>
      </c>
      <c r="B3" s="191" t="s">
        <v>147</v>
      </c>
      <c r="C3" s="188">
        <v>0.4</v>
      </c>
      <c r="F3" s="332"/>
      <c r="G3" s="332"/>
      <c r="H3" s="332"/>
      <c r="I3" s="332"/>
    </row>
    <row r="4" spans="1:9" ht="12.75" customHeight="1">
      <c r="A4" s="329"/>
      <c r="B4" s="192" t="s">
        <v>141</v>
      </c>
      <c r="C4" s="189">
        <f>SUM(F8:F10)</f>
        <v>15356</v>
      </c>
      <c r="F4" s="332"/>
      <c r="G4" s="332"/>
      <c r="H4" s="332"/>
      <c r="I4" s="332"/>
    </row>
    <row r="5" spans="1:9" ht="12.75" customHeight="1">
      <c r="A5" s="329"/>
      <c r="B5" s="192" t="s">
        <v>143</v>
      </c>
      <c r="C5" s="189">
        <f>SUM(G8:G10)</f>
        <v>9213.599999999999</v>
      </c>
      <c r="F5" s="332"/>
      <c r="G5" s="332"/>
      <c r="H5" s="332"/>
      <c r="I5" s="332"/>
    </row>
    <row r="6" spans="1:9" ht="13.5" customHeight="1" thickBot="1">
      <c r="A6" s="329"/>
      <c r="B6" s="193" t="s">
        <v>144</v>
      </c>
      <c r="C6" s="190">
        <f>C5-I6</f>
        <v>8358.599999999999</v>
      </c>
      <c r="D6" s="330" t="s">
        <v>174</v>
      </c>
      <c r="E6" s="330"/>
      <c r="F6" s="330"/>
      <c r="G6" s="330"/>
      <c r="H6" s="331"/>
      <c r="I6" s="224">
        <f>B8*VLOOKUP(C8,AndersonSpecs,17)+B9*VLOOKUP(C9,AndersonSpecs,17)+B10*VLOOKUP(C10,AndersonSpecs,17)</f>
        <v>855</v>
      </c>
    </row>
    <row r="7" spans="1:7" ht="55.5" customHeight="1" thickBot="1">
      <c r="A7" s="204" t="s">
        <v>142</v>
      </c>
      <c r="B7" s="205" t="s">
        <v>137</v>
      </c>
      <c r="C7" s="206" t="s">
        <v>5</v>
      </c>
      <c r="D7" s="207" t="s">
        <v>161</v>
      </c>
      <c r="E7" s="206" t="s">
        <v>162</v>
      </c>
      <c r="F7" s="206" t="s">
        <v>163</v>
      </c>
      <c r="G7" s="208" t="s">
        <v>164</v>
      </c>
    </row>
    <row r="8" spans="1:7" ht="12.75">
      <c r="A8" s="198" t="s">
        <v>105</v>
      </c>
      <c r="B8" s="199">
        <v>2</v>
      </c>
      <c r="C8" s="200" t="str">
        <f>VLOOKUP(A8,'Select Winches'!$A$8:$B$10,2)</f>
        <v>52ST</v>
      </c>
      <c r="D8" s="201">
        <f>VLOOKUP(C8,AndersonSpecs,16)</f>
        <v>3399</v>
      </c>
      <c r="E8" s="202">
        <f>(1-$C$3)*D8</f>
        <v>2039.3999999999999</v>
      </c>
      <c r="F8" s="202">
        <f aca="true" t="shared" si="0" ref="F8:G10">$B8*D8</f>
        <v>6798</v>
      </c>
      <c r="G8" s="203">
        <f t="shared" si="0"/>
        <v>4078.7999999999997</v>
      </c>
    </row>
    <row r="9" spans="1:7" ht="12.75">
      <c r="A9" s="195" t="s">
        <v>106</v>
      </c>
      <c r="B9" s="194">
        <v>4</v>
      </c>
      <c r="C9" s="180" t="str">
        <f>VLOOKUP(A9,'Select Winches'!$A$8:$B$10,2)</f>
        <v>40ST</v>
      </c>
      <c r="D9" s="181">
        <f>VLOOKUP(C9,AndersonSpecs,16)</f>
        <v>1394</v>
      </c>
      <c r="E9" s="202">
        <f>(1-$C$3)*D9</f>
        <v>836.4</v>
      </c>
      <c r="F9" s="182">
        <f t="shared" si="0"/>
        <v>5576</v>
      </c>
      <c r="G9" s="183">
        <f t="shared" si="0"/>
        <v>3345.6</v>
      </c>
    </row>
    <row r="10" spans="1:7" ht="13.5" thickBot="1">
      <c r="A10" s="196" t="s">
        <v>107</v>
      </c>
      <c r="B10" s="197">
        <v>3</v>
      </c>
      <c r="C10" s="184" t="str">
        <f>VLOOKUP(A10,'Select Winches'!$A$8:$B$10,2)</f>
        <v>28ST</v>
      </c>
      <c r="D10" s="185">
        <f>VLOOKUP(C10,AndersonSpecs,16)</f>
        <v>994</v>
      </c>
      <c r="E10" s="185">
        <f>(1-$C$3)*D10</f>
        <v>596.4</v>
      </c>
      <c r="F10" s="186">
        <f t="shared" si="0"/>
        <v>2982</v>
      </c>
      <c r="G10" s="187">
        <f t="shared" si="0"/>
        <v>1789.1999999999998</v>
      </c>
    </row>
    <row r="11" spans="1:2" ht="13.5" thickBot="1">
      <c r="A11" s="159"/>
      <c r="B11" s="164"/>
    </row>
    <row r="12" spans="1:3" ht="12.75">
      <c r="A12" s="328" t="s">
        <v>139</v>
      </c>
      <c r="B12" s="191" t="s">
        <v>147</v>
      </c>
      <c r="C12" s="188">
        <v>0.4</v>
      </c>
    </row>
    <row r="13" spans="1:3" ht="12.75">
      <c r="A13" s="329"/>
      <c r="B13" s="192" t="s">
        <v>141</v>
      </c>
      <c r="C13" s="189">
        <f>SUM(F17:F19)</f>
        <v>16981</v>
      </c>
    </row>
    <row r="14" spans="1:3" ht="13.5" thickBot="1">
      <c r="A14" s="329"/>
      <c r="B14" s="192" t="s">
        <v>143</v>
      </c>
      <c r="C14" s="189">
        <f>SUM(G17:G19)</f>
        <v>10188.6</v>
      </c>
    </row>
    <row r="15" spans="1:9" ht="13.5" thickBot="1">
      <c r="A15" s="329"/>
      <c r="B15" s="193" t="s">
        <v>144</v>
      </c>
      <c r="C15" s="190">
        <f>C14-I15</f>
        <v>8001.450000000001</v>
      </c>
      <c r="D15" s="330" t="s">
        <v>145</v>
      </c>
      <c r="E15" s="330"/>
      <c r="F15" s="330"/>
      <c r="G15" s="330"/>
      <c r="H15" s="331"/>
      <c r="I15" s="165">
        <f>0.15*(F18+F19+B17*MIN(3150,F17))</f>
        <v>2187.15</v>
      </c>
    </row>
    <row r="16" spans="1:7" ht="45.75" thickBot="1">
      <c r="A16" s="204" t="s">
        <v>142</v>
      </c>
      <c r="B16" s="205" t="s">
        <v>137</v>
      </c>
      <c r="C16" s="206" t="s">
        <v>5</v>
      </c>
      <c r="D16" s="207" t="s">
        <v>161</v>
      </c>
      <c r="E16" s="206" t="s">
        <v>162</v>
      </c>
      <c r="F16" s="206" t="s">
        <v>163</v>
      </c>
      <c r="G16" s="208" t="s">
        <v>164</v>
      </c>
    </row>
    <row r="17" spans="1:7" ht="12.75">
      <c r="A17" s="198" t="s">
        <v>105</v>
      </c>
      <c r="B17" s="199">
        <f>B8</f>
        <v>2</v>
      </c>
      <c r="C17" s="200" t="str">
        <f>VLOOKUP(A17,'Select Winches'!$A$14:$B$16,2)</f>
        <v>B56.3STC</v>
      </c>
      <c r="D17" s="201">
        <f>VLOOKUP(C17,HarkenSpecs,16)</f>
        <v>4350</v>
      </c>
      <c r="E17" s="202">
        <f>(1-$C$12)*D17</f>
        <v>2610</v>
      </c>
      <c r="F17" s="202">
        <f aca="true" t="shared" si="1" ref="F17:G19">$B17*D17</f>
        <v>8700</v>
      </c>
      <c r="G17" s="203">
        <f t="shared" si="1"/>
        <v>5220</v>
      </c>
    </row>
    <row r="18" spans="1:7" ht="12.75">
      <c r="A18" s="195" t="s">
        <v>106</v>
      </c>
      <c r="B18" s="194">
        <f>B9</f>
        <v>4</v>
      </c>
      <c r="C18" s="180" t="str">
        <f>VLOOKUP(A18,'Select Winches'!$A$14:$B$16,2)</f>
        <v>B40.2STC</v>
      </c>
      <c r="D18" s="181">
        <f>VLOOKUP(C18,HarkenSpecs,16)</f>
        <v>1249</v>
      </c>
      <c r="E18" s="202">
        <f>(1-$C$12)*D18</f>
        <v>749.4</v>
      </c>
      <c r="F18" s="182">
        <f t="shared" si="1"/>
        <v>4996</v>
      </c>
      <c r="G18" s="183">
        <f t="shared" si="1"/>
        <v>2997.6</v>
      </c>
    </row>
    <row r="19" spans="1:7" ht="13.5" thickBot="1">
      <c r="A19" s="196" t="s">
        <v>107</v>
      </c>
      <c r="B19" s="197">
        <f>B10</f>
        <v>3</v>
      </c>
      <c r="C19" s="184" t="str">
        <f>VLOOKUP(A19,'Select Winches'!$A$14:$B$16,2)</f>
        <v>B32.2STC</v>
      </c>
      <c r="D19" s="185">
        <f>VLOOKUP(C19,HarkenSpecs,16)</f>
        <v>1095</v>
      </c>
      <c r="E19" s="185">
        <f>(1-$C$12)*D19</f>
        <v>657</v>
      </c>
      <c r="F19" s="186">
        <f t="shared" si="1"/>
        <v>3285</v>
      </c>
      <c r="G19" s="187">
        <f t="shared" si="1"/>
        <v>1971</v>
      </c>
    </row>
    <row r="20" spans="1:3" ht="13.5" thickBot="1">
      <c r="A20" s="162"/>
      <c r="B20" s="164" t="s">
        <v>146</v>
      </c>
      <c r="C20" s="161"/>
    </row>
    <row r="21" spans="1:3" ht="13.5" customHeight="1">
      <c r="A21" s="328" t="s">
        <v>140</v>
      </c>
      <c r="B21" s="191" t="s">
        <v>147</v>
      </c>
      <c r="C21" s="188">
        <v>0.4</v>
      </c>
    </row>
    <row r="22" spans="1:3" ht="12.75" customHeight="1">
      <c r="A22" s="329"/>
      <c r="B22" s="192" t="s">
        <v>141</v>
      </c>
      <c r="C22" s="189">
        <f>SUM(F26:F28)</f>
        <v>13377</v>
      </c>
    </row>
    <row r="23" spans="1:3" ht="12.75" customHeight="1">
      <c r="A23" s="329"/>
      <c r="B23" s="192" t="s">
        <v>143</v>
      </c>
      <c r="C23" s="189">
        <f>SUM(G26:G28)</f>
        <v>8026.2</v>
      </c>
    </row>
    <row r="24" spans="1:8" ht="13.5" customHeight="1" thickBot="1">
      <c r="A24" s="329"/>
      <c r="B24" s="193" t="s">
        <v>144</v>
      </c>
      <c r="C24" s="190">
        <f>C23-I24</f>
        <v>8026.2</v>
      </c>
      <c r="D24" s="330"/>
      <c r="E24" s="330"/>
      <c r="F24" s="330"/>
      <c r="G24" s="330"/>
      <c r="H24" s="331"/>
    </row>
    <row r="25" spans="1:7" ht="48" customHeight="1" thickBot="1">
      <c r="A25" s="204" t="s">
        <v>142</v>
      </c>
      <c r="B25" s="205" t="s">
        <v>137</v>
      </c>
      <c r="C25" s="206" t="s">
        <v>5</v>
      </c>
      <c r="D25" s="207" t="s">
        <v>161</v>
      </c>
      <c r="E25" s="206" t="s">
        <v>162</v>
      </c>
      <c r="F25" s="206" t="s">
        <v>163</v>
      </c>
      <c r="G25" s="208" t="s">
        <v>164</v>
      </c>
    </row>
    <row r="26" spans="1:7" ht="12.75">
      <c r="A26" s="198" t="s">
        <v>105</v>
      </c>
      <c r="B26" s="233">
        <f>B8</f>
        <v>2</v>
      </c>
      <c r="C26" s="234" t="str">
        <f>VLOOKUP(A26,'Select Winches'!$A$20:$B$23,2)</f>
        <v>54CST</v>
      </c>
      <c r="D26" s="235">
        <f>VLOOKUP(C26,LewmarSpecs,16)</f>
        <v>2930</v>
      </c>
      <c r="E26" s="236">
        <f>(1-$C$21)*D26</f>
        <v>1758</v>
      </c>
      <c r="F26" s="236">
        <f aca="true" t="shared" si="2" ref="F26:G28">$B26*D26</f>
        <v>5860</v>
      </c>
      <c r="G26" s="237">
        <f t="shared" si="2"/>
        <v>3516</v>
      </c>
    </row>
    <row r="27" spans="1:7" ht="12.75">
      <c r="A27" s="195" t="s">
        <v>106</v>
      </c>
      <c r="B27" s="238">
        <f>B9</f>
        <v>4</v>
      </c>
      <c r="C27" s="180" t="str">
        <f>VLOOKUP(A27,'Select Winches'!$A$20:$B$23,2)</f>
        <v>40CST</v>
      </c>
      <c r="D27" s="181">
        <f>VLOOKUP(C27,LewmarSpecs,16)</f>
        <v>1130</v>
      </c>
      <c r="E27" s="202">
        <f>(1-$C$21)*D27</f>
        <v>678</v>
      </c>
      <c r="F27" s="182">
        <f t="shared" si="2"/>
        <v>4520</v>
      </c>
      <c r="G27" s="183">
        <f t="shared" si="2"/>
        <v>2712</v>
      </c>
    </row>
    <row r="28" spans="1:7" ht="13.5" thickBot="1">
      <c r="A28" s="196" t="s">
        <v>107</v>
      </c>
      <c r="B28" s="239">
        <f>B10</f>
        <v>3</v>
      </c>
      <c r="C28" s="184" t="str">
        <f>VLOOKUP(A28,'Select Winches'!$A$20:$B$23,2)</f>
        <v>30CST</v>
      </c>
      <c r="D28" s="185">
        <f>VLOOKUP(C28,LewmarSpecs,16)</f>
        <v>999</v>
      </c>
      <c r="E28" s="240">
        <f>(1-$C$21)*D28</f>
        <v>599.4</v>
      </c>
      <c r="F28" s="186">
        <f t="shared" si="2"/>
        <v>2997</v>
      </c>
      <c r="G28" s="187">
        <f t="shared" si="2"/>
        <v>1798.1999999999998</v>
      </c>
    </row>
  </sheetData>
  <sheetProtection/>
  <mergeCells count="13">
    <mergeCell ref="H3:I3"/>
    <mergeCell ref="H4:I4"/>
    <mergeCell ref="H5:I5"/>
    <mergeCell ref="A1:G1"/>
    <mergeCell ref="A21:A24"/>
    <mergeCell ref="A3:A6"/>
    <mergeCell ref="A12:A15"/>
    <mergeCell ref="D15:H15"/>
    <mergeCell ref="D24:H24"/>
    <mergeCell ref="D6:H6"/>
    <mergeCell ref="F3:G3"/>
    <mergeCell ref="F4:G4"/>
    <mergeCell ref="F5:G5"/>
  </mergeCells>
  <conditionalFormatting sqref="I1:J1">
    <cfRule type="expression" priority="1" dxfId="2" stopIfTrue="1">
      <formula>I1&gt;MaxHandleLoad</formula>
    </cfRule>
  </conditionalFormatting>
  <conditionalFormatting sqref="H1">
    <cfRule type="expression" priority="2" dxfId="1" stopIfTrue="1">
      <formula>H1&gt;MaxHandleLoad</formula>
    </cfRule>
  </conditionalFormatting>
  <dataValidations count="1">
    <dataValidation type="whole" allowBlank="1" showInputMessage="1" showErrorMessage="1" prompt="Please enter a number between 0 and 4&#10;" sqref="B8:B10">
      <formula1>0</formula1>
      <formula2>4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21"/>
  <sheetViews>
    <sheetView workbookViewId="0" topLeftCell="A1">
      <selection activeCell="P5" sqref="P5:P20"/>
    </sheetView>
  </sheetViews>
  <sheetFormatPr defaultColWidth="9.140625" defaultRowHeight="12.75"/>
  <cols>
    <col min="1" max="1" width="10.421875" style="0" customWidth="1"/>
    <col min="2" max="2" width="5.00390625" style="0" bestFit="1" customWidth="1"/>
    <col min="3" max="3" width="3.8515625" style="0" customWidth="1"/>
    <col min="4" max="4" width="5.8515625" style="0" customWidth="1"/>
    <col min="5" max="5" width="6.8515625" style="0" customWidth="1"/>
    <col min="6" max="6" width="6.57421875" style="0" customWidth="1"/>
    <col min="7" max="7" width="4.57421875" style="0" bestFit="1" customWidth="1"/>
    <col min="8" max="9" width="5.140625" style="0" bestFit="1" customWidth="1"/>
    <col min="10" max="11" width="8.28125" style="0" bestFit="1" customWidth="1"/>
    <col min="12" max="12" width="8.140625" style="0" bestFit="1" customWidth="1"/>
    <col min="13" max="13" width="9.421875" style="0" bestFit="1" customWidth="1"/>
    <col min="14" max="15" width="8.28125" style="0" bestFit="1" customWidth="1"/>
    <col min="16" max="16" width="11.28125" style="0" bestFit="1" customWidth="1"/>
  </cols>
  <sheetData>
    <row r="1" spans="1:18" ht="21" thickBot="1">
      <c r="A1" s="333" t="s">
        <v>65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4"/>
      <c r="R1" s="25"/>
    </row>
    <row r="2" spans="1:16" ht="15" customHeight="1">
      <c r="A2" s="342" t="s">
        <v>59</v>
      </c>
      <c r="B2" s="345" t="s">
        <v>95</v>
      </c>
      <c r="C2" s="348" t="s">
        <v>96</v>
      </c>
      <c r="D2" s="335" t="s">
        <v>42</v>
      </c>
      <c r="E2" s="335"/>
      <c r="F2" s="335"/>
      <c r="G2" s="336" t="s">
        <v>103</v>
      </c>
      <c r="H2" s="337"/>
      <c r="I2" s="338"/>
      <c r="J2" s="63" t="s">
        <v>19</v>
      </c>
      <c r="K2" s="61" t="s">
        <v>20</v>
      </c>
      <c r="L2" s="61" t="s">
        <v>21</v>
      </c>
      <c r="M2" s="61" t="s">
        <v>22</v>
      </c>
      <c r="N2" s="61" t="s">
        <v>63</v>
      </c>
      <c r="O2" s="61" t="s">
        <v>64</v>
      </c>
      <c r="P2" s="61" t="s">
        <v>122</v>
      </c>
    </row>
    <row r="3" spans="1:16" ht="12.75">
      <c r="A3" s="343"/>
      <c r="B3" s="346"/>
      <c r="C3" s="349"/>
      <c r="D3" s="335"/>
      <c r="E3" s="335"/>
      <c r="F3" s="335"/>
      <c r="G3" s="339"/>
      <c r="H3" s="340"/>
      <c r="I3" s="341"/>
      <c r="J3" s="64" t="s">
        <v>60</v>
      </c>
      <c r="K3" s="65" t="s">
        <v>60</v>
      </c>
      <c r="L3" s="65" t="s">
        <v>61</v>
      </c>
      <c r="M3" s="65" t="s">
        <v>23</v>
      </c>
      <c r="N3" s="65" t="s">
        <v>22</v>
      </c>
      <c r="O3" s="65" t="s">
        <v>22</v>
      </c>
      <c r="P3" s="65" t="s">
        <v>121</v>
      </c>
    </row>
    <row r="4" spans="1:17" ht="17.25" customHeight="1">
      <c r="A4" s="344"/>
      <c r="B4" s="347"/>
      <c r="C4" s="350"/>
      <c r="D4" s="66" t="s">
        <v>82</v>
      </c>
      <c r="E4" s="66" t="s">
        <v>83</v>
      </c>
      <c r="F4" s="66" t="s">
        <v>84</v>
      </c>
      <c r="G4" s="66" t="s">
        <v>82</v>
      </c>
      <c r="H4" s="66" t="s">
        <v>83</v>
      </c>
      <c r="I4" s="66" t="s">
        <v>84</v>
      </c>
      <c r="J4" s="67"/>
      <c r="K4" s="68"/>
      <c r="L4" s="68"/>
      <c r="M4" s="68" t="s">
        <v>62</v>
      </c>
      <c r="N4" s="68" t="s">
        <v>60</v>
      </c>
      <c r="O4" s="68" t="s">
        <v>60</v>
      </c>
      <c r="P4" s="65"/>
      <c r="Q4" s="25"/>
    </row>
    <row r="5" spans="1:16" ht="12.75">
      <c r="A5" s="69" t="s">
        <v>136</v>
      </c>
      <c r="B5" s="69">
        <v>16</v>
      </c>
      <c r="C5" s="69">
        <v>1</v>
      </c>
      <c r="D5" s="41">
        <v>2.3</v>
      </c>
      <c r="E5" s="41" t="e">
        <f>-NA()</f>
        <v>#N/A</v>
      </c>
      <c r="F5" s="41" t="e">
        <f>-NA()</f>
        <v>#N/A</v>
      </c>
      <c r="G5" s="41">
        <v>16</v>
      </c>
      <c r="H5" s="41" t="e">
        <f>-NA()</f>
        <v>#N/A</v>
      </c>
      <c r="I5" s="41" t="e">
        <f>-NA()</f>
        <v>#N/A</v>
      </c>
      <c r="J5" s="231">
        <v>2.75</v>
      </c>
      <c r="K5" s="231">
        <v>4.75</v>
      </c>
      <c r="L5" s="97">
        <v>5.5625</v>
      </c>
      <c r="M5" s="97">
        <v>2</v>
      </c>
      <c r="N5" s="105">
        <v>0.25</v>
      </c>
      <c r="O5" s="130">
        <v>0.5</v>
      </c>
      <c r="P5" s="274">
        <v>694</v>
      </c>
    </row>
    <row r="6" spans="1:16" ht="12.75">
      <c r="A6" s="69" t="s">
        <v>10</v>
      </c>
      <c r="B6" s="69">
        <v>32</v>
      </c>
      <c r="C6" s="69">
        <v>2</v>
      </c>
      <c r="D6" s="2">
        <v>2.4</v>
      </c>
      <c r="E6" s="2">
        <v>4.7</v>
      </c>
      <c r="F6" s="2" t="e">
        <f>-NA()</f>
        <v>#N/A</v>
      </c>
      <c r="G6" s="2">
        <v>16</v>
      </c>
      <c r="H6" s="2">
        <v>32</v>
      </c>
      <c r="I6" s="2" t="e">
        <f>-NA()</f>
        <v>#N/A</v>
      </c>
      <c r="J6" s="231">
        <v>2.9375</v>
      </c>
      <c r="K6" s="230">
        <v>5.375</v>
      </c>
      <c r="L6" s="97">
        <v>6.4375</v>
      </c>
      <c r="M6" s="97">
        <v>2.75</v>
      </c>
      <c r="N6" s="96">
        <v>0.3125</v>
      </c>
      <c r="O6" s="130">
        <v>0.5</v>
      </c>
      <c r="P6" s="274">
        <v>1095</v>
      </c>
    </row>
    <row r="7" spans="1:16" ht="12.75">
      <c r="A7" s="69" t="s">
        <v>9</v>
      </c>
      <c r="B7" s="69">
        <v>40</v>
      </c>
      <c r="C7" s="69">
        <v>2</v>
      </c>
      <c r="D7" s="2">
        <v>2.2</v>
      </c>
      <c r="E7" s="2">
        <v>6</v>
      </c>
      <c r="F7" s="2" t="e">
        <f>-NA()</f>
        <v>#N/A</v>
      </c>
      <c r="G7" s="2">
        <v>13.5</v>
      </c>
      <c r="H7" s="2">
        <v>40</v>
      </c>
      <c r="I7" s="2" t="e">
        <f>-NA()</f>
        <v>#N/A</v>
      </c>
      <c r="J7" s="97">
        <v>3</v>
      </c>
      <c r="K7" s="230">
        <v>5.875</v>
      </c>
      <c r="L7" s="97">
        <v>6.9375</v>
      </c>
      <c r="M7" s="97">
        <v>2.75</v>
      </c>
      <c r="N7" s="96">
        <v>0.3125</v>
      </c>
      <c r="O7" s="130">
        <v>0.5</v>
      </c>
      <c r="P7" s="274">
        <v>1249</v>
      </c>
    </row>
    <row r="8" spans="1:16" ht="12.75">
      <c r="A8" s="69" t="s">
        <v>123</v>
      </c>
      <c r="B8" s="69">
        <v>42</v>
      </c>
      <c r="C8" s="69">
        <v>2</v>
      </c>
      <c r="D8" s="2">
        <v>2.5</v>
      </c>
      <c r="E8" s="2">
        <v>7.3</v>
      </c>
      <c r="F8" s="2" t="e">
        <f>-NA()</f>
        <v>#N/A</v>
      </c>
      <c r="G8" s="2">
        <v>14</v>
      </c>
      <c r="H8" s="2">
        <v>42</v>
      </c>
      <c r="I8" s="2" t="e">
        <f>-NA()</f>
        <v>#N/A</v>
      </c>
      <c r="J8" s="97">
        <v>3.5625</v>
      </c>
      <c r="K8" s="241">
        <v>6.5</v>
      </c>
      <c r="L8" s="97">
        <v>7.6875</v>
      </c>
      <c r="M8" s="230">
        <v>3.375</v>
      </c>
      <c r="N8" s="96">
        <v>0.3125</v>
      </c>
      <c r="O8" s="131">
        <v>0.5625</v>
      </c>
      <c r="P8" s="274">
        <v>1464.08</v>
      </c>
    </row>
    <row r="9" spans="1:16" ht="12.75">
      <c r="A9" s="69" t="s">
        <v>124</v>
      </c>
      <c r="B9" s="69">
        <v>44</v>
      </c>
      <c r="C9" s="69">
        <v>2</v>
      </c>
      <c r="D9" s="2">
        <v>2.5</v>
      </c>
      <c r="E9" s="2">
        <v>8.2</v>
      </c>
      <c r="F9" s="2" t="e">
        <f>-NA()</f>
        <v>#N/A</v>
      </c>
      <c r="G9" s="2">
        <v>13.8</v>
      </c>
      <c r="H9" s="2">
        <v>44</v>
      </c>
      <c r="I9" s="2" t="e">
        <f>-NA()</f>
        <v>#N/A</v>
      </c>
      <c r="J9" s="230">
        <v>3.625</v>
      </c>
      <c r="K9" s="97">
        <v>6.6875</v>
      </c>
      <c r="L9" s="230">
        <v>8.125</v>
      </c>
      <c r="M9" s="230">
        <v>3.375</v>
      </c>
      <c r="N9" s="96">
        <v>0.3125</v>
      </c>
      <c r="O9" s="131">
        <v>0.5625</v>
      </c>
      <c r="P9" s="274">
        <v>1835</v>
      </c>
    </row>
    <row r="10" spans="1:16" ht="12.75">
      <c r="A10" s="69" t="s">
        <v>125</v>
      </c>
      <c r="B10" s="69">
        <v>46</v>
      </c>
      <c r="C10" s="69">
        <v>2</v>
      </c>
      <c r="D10" s="2">
        <v>2.5</v>
      </c>
      <c r="E10" s="2">
        <v>9.2</v>
      </c>
      <c r="F10" s="2" t="e">
        <f>-NA()</f>
        <v>#N/A</v>
      </c>
      <c r="G10" s="2">
        <v>13</v>
      </c>
      <c r="H10" s="2">
        <v>46</v>
      </c>
      <c r="I10" s="2" t="e">
        <f>-NA()</f>
        <v>#N/A</v>
      </c>
      <c r="J10" s="97">
        <v>3.9375</v>
      </c>
      <c r="K10" s="230">
        <v>6.875</v>
      </c>
      <c r="L10" s="97">
        <v>8.5625</v>
      </c>
      <c r="M10" s="97">
        <v>3.5625</v>
      </c>
      <c r="N10" s="96">
        <v>0.3125</v>
      </c>
      <c r="O10" s="131">
        <v>0.5625</v>
      </c>
      <c r="P10" s="274">
        <v>2169</v>
      </c>
    </row>
    <row r="11" spans="1:16" ht="12.75">
      <c r="A11" s="69" t="s">
        <v>126</v>
      </c>
      <c r="B11" s="69">
        <v>48</v>
      </c>
      <c r="C11" s="69">
        <v>2</v>
      </c>
      <c r="D11" s="2">
        <v>2.5</v>
      </c>
      <c r="E11" s="2">
        <v>10</v>
      </c>
      <c r="F11" s="2" t="e">
        <f>-NA()</f>
        <v>#N/A</v>
      </c>
      <c r="G11" s="2">
        <v>12</v>
      </c>
      <c r="H11" s="2">
        <v>48</v>
      </c>
      <c r="I11" s="2" t="e">
        <f>-NA()</f>
        <v>#N/A</v>
      </c>
      <c r="J11" s="97">
        <v>4</v>
      </c>
      <c r="K11" s="241">
        <v>7.5</v>
      </c>
      <c r="L11" s="97">
        <v>9</v>
      </c>
      <c r="M11" s="97">
        <v>3.9375</v>
      </c>
      <c r="N11" s="96">
        <v>0.3125</v>
      </c>
      <c r="O11" s="131">
        <v>0.5625</v>
      </c>
      <c r="P11" s="274">
        <v>2729</v>
      </c>
    </row>
    <row r="12" spans="1:16" ht="12.75">
      <c r="A12" s="69" t="s">
        <v>127</v>
      </c>
      <c r="B12" s="69">
        <v>53</v>
      </c>
      <c r="C12" s="69">
        <v>2</v>
      </c>
      <c r="D12" s="2">
        <v>3</v>
      </c>
      <c r="E12" s="2">
        <v>12</v>
      </c>
      <c r="F12" s="2" t="e">
        <f>-NA()</f>
        <v>#N/A</v>
      </c>
      <c r="G12" s="2">
        <v>13.1</v>
      </c>
      <c r="H12" s="2">
        <v>53</v>
      </c>
      <c r="I12" s="2" t="e">
        <f>-NA()</f>
        <v>#N/A</v>
      </c>
      <c r="J12" s="97">
        <v>4.4375</v>
      </c>
      <c r="K12" s="97">
        <v>8.6875</v>
      </c>
      <c r="L12" s="97">
        <v>9.6875</v>
      </c>
      <c r="M12" s="97">
        <v>4.1875</v>
      </c>
      <c r="N12" s="96">
        <v>0.3125</v>
      </c>
      <c r="O12" s="131">
        <v>0.5625</v>
      </c>
      <c r="P12" s="274">
        <v>3150</v>
      </c>
    </row>
    <row r="13" spans="1:16" ht="12.75">
      <c r="A13" s="69" t="s">
        <v>128</v>
      </c>
      <c r="B13" s="69">
        <v>56</v>
      </c>
      <c r="C13" s="69">
        <v>2</v>
      </c>
      <c r="D13" s="2">
        <v>5</v>
      </c>
      <c r="E13" s="2">
        <v>13</v>
      </c>
      <c r="F13" s="2" t="e">
        <f>-NA()</f>
        <v>#N/A</v>
      </c>
      <c r="G13" s="2">
        <v>21</v>
      </c>
      <c r="H13" s="2">
        <v>56</v>
      </c>
      <c r="I13" s="2" t="e">
        <f>-NA()</f>
        <v>#N/A</v>
      </c>
      <c r="J13" s="231">
        <v>4.75</v>
      </c>
      <c r="K13" s="230">
        <v>8.875</v>
      </c>
      <c r="L13" s="230">
        <v>10.625</v>
      </c>
      <c r="M13" s="97">
        <v>4.9375</v>
      </c>
      <c r="N13" s="96">
        <v>0.3125</v>
      </c>
      <c r="O13" s="132">
        <v>0.625</v>
      </c>
      <c r="P13" s="274">
        <v>4100</v>
      </c>
    </row>
    <row r="14" spans="1:16" ht="12.75">
      <c r="A14" s="69" t="s">
        <v>129</v>
      </c>
      <c r="B14" s="69">
        <v>56</v>
      </c>
      <c r="C14" s="69">
        <v>3</v>
      </c>
      <c r="D14" s="2">
        <v>5</v>
      </c>
      <c r="E14" s="2">
        <v>13</v>
      </c>
      <c r="F14" s="2">
        <v>2.2</v>
      </c>
      <c r="G14" s="2">
        <v>21</v>
      </c>
      <c r="H14" s="2">
        <v>56</v>
      </c>
      <c r="I14" s="49">
        <v>9</v>
      </c>
      <c r="J14" s="231">
        <v>4.75</v>
      </c>
      <c r="K14" s="230">
        <v>8.875</v>
      </c>
      <c r="L14" s="230">
        <v>10.625</v>
      </c>
      <c r="M14" s="97">
        <v>4.9375</v>
      </c>
      <c r="N14" s="96">
        <v>0.3125</v>
      </c>
      <c r="O14" s="132">
        <v>0.625</v>
      </c>
      <c r="P14" s="274">
        <v>4350</v>
      </c>
    </row>
    <row r="15" spans="1:16" ht="12.75">
      <c r="A15" s="69" t="s">
        <v>130</v>
      </c>
      <c r="B15" s="69">
        <v>64</v>
      </c>
      <c r="C15" s="69">
        <v>2</v>
      </c>
      <c r="D15" s="2">
        <v>5.7</v>
      </c>
      <c r="E15" s="2">
        <v>16.5</v>
      </c>
      <c r="F15" s="2" t="e">
        <f>-NA()</f>
        <v>#N/A</v>
      </c>
      <c r="G15" s="2">
        <v>22.5</v>
      </c>
      <c r="H15" s="2">
        <v>64</v>
      </c>
      <c r="I15" s="2" t="e">
        <f>-NA()</f>
        <v>#N/A</v>
      </c>
      <c r="J15" s="230">
        <v>5.125</v>
      </c>
      <c r="K15" s="230">
        <v>9.625</v>
      </c>
      <c r="L15" s="230">
        <v>12.125</v>
      </c>
      <c r="M15" s="230">
        <v>5.875</v>
      </c>
      <c r="N15" s="96">
        <v>0.3125</v>
      </c>
      <c r="O15" s="133">
        <v>0.75</v>
      </c>
      <c r="P15" s="274">
        <v>5660</v>
      </c>
    </row>
    <row r="16" spans="1:16" ht="12.75">
      <c r="A16" s="69" t="s">
        <v>131</v>
      </c>
      <c r="B16" s="69">
        <v>64</v>
      </c>
      <c r="C16" s="69">
        <v>3</v>
      </c>
      <c r="D16" s="2">
        <v>5.7</v>
      </c>
      <c r="E16" s="2">
        <v>16.5</v>
      </c>
      <c r="F16" s="2">
        <v>2.3</v>
      </c>
      <c r="G16" s="2">
        <v>22.5</v>
      </c>
      <c r="H16" s="2">
        <v>64</v>
      </c>
      <c r="I16" s="2">
        <v>9</v>
      </c>
      <c r="J16" s="230">
        <v>5.125</v>
      </c>
      <c r="K16" s="230">
        <v>9.625</v>
      </c>
      <c r="L16" s="97">
        <v>11.8125</v>
      </c>
      <c r="M16" s="230">
        <v>5.875</v>
      </c>
      <c r="N16" s="96">
        <v>0.3125</v>
      </c>
      <c r="O16" s="133">
        <v>0.75</v>
      </c>
      <c r="P16" s="274">
        <v>6060</v>
      </c>
    </row>
    <row r="17" spans="1:16" ht="12.75">
      <c r="A17" s="69" t="s">
        <v>132</v>
      </c>
      <c r="B17" s="69">
        <v>66</v>
      </c>
      <c r="C17" s="69">
        <v>2</v>
      </c>
      <c r="D17" s="2">
        <v>7.3</v>
      </c>
      <c r="E17" s="2">
        <v>20</v>
      </c>
      <c r="F17" s="2" t="e">
        <f>-NA()</f>
        <v>#N/A</v>
      </c>
      <c r="G17" s="2">
        <v>25</v>
      </c>
      <c r="H17" s="2">
        <v>66</v>
      </c>
      <c r="I17" s="2" t="e">
        <f>-NA()</f>
        <v>#N/A</v>
      </c>
      <c r="J17" s="230">
        <v>5.875</v>
      </c>
      <c r="K17" s="97">
        <v>10.4375</v>
      </c>
      <c r="L17" s="97">
        <v>13</v>
      </c>
      <c r="M17" s="230">
        <v>5.875</v>
      </c>
      <c r="N17" s="105">
        <v>0.375</v>
      </c>
      <c r="O17" s="131">
        <v>0.8125</v>
      </c>
      <c r="P17" s="274">
        <v>6760</v>
      </c>
    </row>
    <row r="18" spans="1:16" ht="14.25" customHeight="1">
      <c r="A18" s="69" t="s">
        <v>133</v>
      </c>
      <c r="B18" s="69">
        <v>66</v>
      </c>
      <c r="C18" s="69">
        <v>3</v>
      </c>
      <c r="D18" s="2">
        <v>7.3</v>
      </c>
      <c r="E18" s="2">
        <v>20</v>
      </c>
      <c r="F18" s="2">
        <v>2.8</v>
      </c>
      <c r="G18" s="2">
        <v>25</v>
      </c>
      <c r="H18" s="2">
        <v>66</v>
      </c>
      <c r="I18" s="2">
        <v>9.3</v>
      </c>
      <c r="J18" s="230">
        <v>5.875</v>
      </c>
      <c r="K18" s="97">
        <v>10.4375</v>
      </c>
      <c r="L18" s="97">
        <v>13</v>
      </c>
      <c r="M18" s="230">
        <v>5.875</v>
      </c>
      <c r="N18" s="106">
        <v>0.375</v>
      </c>
      <c r="O18" s="131">
        <v>0.8125</v>
      </c>
      <c r="P18" s="274">
        <v>7160</v>
      </c>
    </row>
    <row r="19" spans="1:16" ht="12.75">
      <c r="A19" s="69" t="s">
        <v>134</v>
      </c>
      <c r="B19" s="69">
        <v>74</v>
      </c>
      <c r="C19" s="69">
        <v>2</v>
      </c>
      <c r="D19" s="2">
        <v>7.3</v>
      </c>
      <c r="E19" s="2">
        <v>22</v>
      </c>
      <c r="F19" s="2" t="e">
        <f>-NA()</f>
        <v>#N/A</v>
      </c>
      <c r="G19" s="2">
        <v>22</v>
      </c>
      <c r="H19" s="2">
        <v>25</v>
      </c>
      <c r="I19" s="2" t="e">
        <f>-NA()</f>
        <v>#N/A</v>
      </c>
      <c r="J19" s="230">
        <v>5.875</v>
      </c>
      <c r="K19" s="97">
        <v>10.4375</v>
      </c>
      <c r="L19" s="97">
        <v>13</v>
      </c>
      <c r="M19" s="230">
        <v>5.875</v>
      </c>
      <c r="N19" s="106">
        <v>0.375</v>
      </c>
      <c r="O19" s="131">
        <v>0.8125</v>
      </c>
      <c r="P19" s="274">
        <v>7888</v>
      </c>
    </row>
    <row r="20" spans="1:16" ht="12.75">
      <c r="A20" s="69" t="s">
        <v>135</v>
      </c>
      <c r="B20" s="69">
        <v>74</v>
      </c>
      <c r="C20" s="69">
        <v>3</v>
      </c>
      <c r="D20" s="2">
        <v>7.3</v>
      </c>
      <c r="E20" s="2">
        <v>22</v>
      </c>
      <c r="F20" s="2">
        <v>2.8</v>
      </c>
      <c r="G20" s="2">
        <v>25</v>
      </c>
      <c r="H20" s="2">
        <v>74</v>
      </c>
      <c r="I20" s="2">
        <v>9.3</v>
      </c>
      <c r="J20" s="230">
        <v>5.875</v>
      </c>
      <c r="K20" s="97">
        <v>10.4375</v>
      </c>
      <c r="L20" s="97">
        <v>13</v>
      </c>
      <c r="M20" s="230">
        <v>5.875</v>
      </c>
      <c r="N20" s="106">
        <v>0.375</v>
      </c>
      <c r="O20" s="132">
        <v>0.875</v>
      </c>
      <c r="P20" s="274">
        <v>8288</v>
      </c>
    </row>
    <row r="21" spans="3:15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6">
    <mergeCell ref="A1:P1"/>
    <mergeCell ref="D2:F3"/>
    <mergeCell ref="G2:I3"/>
    <mergeCell ref="A2:A4"/>
    <mergeCell ref="B2:B4"/>
    <mergeCell ref="C2:C4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50"/>
  <sheetViews>
    <sheetView workbookViewId="0" topLeftCell="A1">
      <selection activeCell="E7" sqref="E7"/>
    </sheetView>
  </sheetViews>
  <sheetFormatPr defaultColWidth="9.140625" defaultRowHeight="12.75"/>
  <cols>
    <col min="1" max="1" width="8.28125" style="0" bestFit="1" customWidth="1"/>
    <col min="2" max="3" width="5.7109375" style="0" bestFit="1" customWidth="1"/>
    <col min="4" max="6" width="5.421875" style="0" customWidth="1"/>
    <col min="7" max="7" width="4.57421875" style="0" bestFit="1" customWidth="1"/>
    <col min="8" max="9" width="5.140625" style="0" bestFit="1" customWidth="1"/>
    <col min="10" max="11" width="7.421875" style="0" bestFit="1" customWidth="1"/>
    <col min="12" max="12" width="7.7109375" style="0" bestFit="1" customWidth="1"/>
    <col min="13" max="13" width="7.421875" style="0" bestFit="1" customWidth="1"/>
    <col min="14" max="14" width="10.28125" style="0" bestFit="1" customWidth="1"/>
    <col min="15" max="15" width="7.421875" style="0" bestFit="1" customWidth="1"/>
    <col min="16" max="16" width="10.28125" style="0" bestFit="1" customWidth="1"/>
  </cols>
  <sheetData>
    <row r="1" spans="1:15" ht="24" customHeight="1" thickBot="1">
      <c r="A1" s="352" t="s">
        <v>92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4"/>
    </row>
    <row r="2" spans="1:15" ht="25.5">
      <c r="A2" s="357" t="s">
        <v>59</v>
      </c>
      <c r="B2" s="355" t="s">
        <v>95</v>
      </c>
      <c r="C2" s="355" t="s">
        <v>96</v>
      </c>
      <c r="D2" s="351" t="s">
        <v>42</v>
      </c>
      <c r="E2" s="351"/>
      <c r="F2" s="351"/>
      <c r="G2" s="351" t="s">
        <v>103</v>
      </c>
      <c r="H2" s="351"/>
      <c r="I2" s="351"/>
      <c r="J2" s="70" t="s">
        <v>19</v>
      </c>
      <c r="K2" s="70" t="s">
        <v>20</v>
      </c>
      <c r="L2" s="70" t="s">
        <v>21</v>
      </c>
      <c r="M2" s="70" t="s">
        <v>36</v>
      </c>
      <c r="N2" s="70" t="s">
        <v>40</v>
      </c>
      <c r="O2" s="71" t="s">
        <v>18</v>
      </c>
    </row>
    <row r="3" spans="1:15" ht="18.75" customHeight="1">
      <c r="A3" s="358"/>
      <c r="B3" s="356"/>
      <c r="C3" s="356"/>
      <c r="D3" s="66" t="s">
        <v>82</v>
      </c>
      <c r="E3" s="66" t="s">
        <v>83</v>
      </c>
      <c r="F3" s="66" t="s">
        <v>84</v>
      </c>
      <c r="G3" s="66" t="s">
        <v>82</v>
      </c>
      <c r="H3" s="66" t="s">
        <v>83</v>
      </c>
      <c r="I3" s="66" t="s">
        <v>84</v>
      </c>
      <c r="J3" s="72"/>
      <c r="K3" s="72"/>
      <c r="L3" s="72"/>
      <c r="M3" s="72"/>
      <c r="N3" s="72"/>
      <c r="O3" s="73" t="s">
        <v>94</v>
      </c>
    </row>
    <row r="4" spans="1:15" ht="12.75">
      <c r="A4" s="74" t="s">
        <v>88</v>
      </c>
      <c r="B4" s="62">
        <v>12</v>
      </c>
      <c r="C4" s="75">
        <v>1</v>
      </c>
      <c r="D4" s="26">
        <v>1.3</v>
      </c>
      <c r="E4" s="80" t="e">
        <f>-NA()</f>
        <v>#N/A</v>
      </c>
      <c r="F4" s="80" t="e">
        <f>-NA()</f>
        <v>#N/A</v>
      </c>
      <c r="G4" s="26">
        <v>9.5</v>
      </c>
      <c r="H4" s="80" t="e">
        <f>-NA()</f>
        <v>#N/A</v>
      </c>
      <c r="I4" s="80" t="e">
        <f>-NA()</f>
        <v>#N/A</v>
      </c>
      <c r="J4" s="34" t="s">
        <v>29</v>
      </c>
      <c r="K4" s="34" t="s">
        <v>31</v>
      </c>
      <c r="L4" s="34" t="s">
        <v>34</v>
      </c>
      <c r="M4" s="35" t="s">
        <v>37</v>
      </c>
      <c r="N4" s="26" t="s">
        <v>41</v>
      </c>
      <c r="O4" s="29">
        <v>2.8</v>
      </c>
    </row>
    <row r="5" spans="1:15" ht="12.75">
      <c r="A5" s="74" t="s">
        <v>6</v>
      </c>
      <c r="B5" s="62">
        <v>28</v>
      </c>
      <c r="C5" s="75">
        <v>2</v>
      </c>
      <c r="D5" s="26">
        <v>1.3</v>
      </c>
      <c r="E5" s="26">
        <v>3.7</v>
      </c>
      <c r="F5" s="80" t="e">
        <f>-NA()</f>
        <v>#N/A</v>
      </c>
      <c r="G5" s="26">
        <v>9.5</v>
      </c>
      <c r="H5" s="26">
        <v>26.5</v>
      </c>
      <c r="I5" s="80" t="e">
        <f>-NA()</f>
        <v>#N/A</v>
      </c>
      <c r="J5" s="34" t="s">
        <v>29</v>
      </c>
      <c r="K5" s="35" t="s">
        <v>32</v>
      </c>
      <c r="L5" s="35" t="s">
        <v>33</v>
      </c>
      <c r="M5" s="35" t="s">
        <v>38</v>
      </c>
      <c r="N5" s="26" t="s">
        <v>41</v>
      </c>
      <c r="O5" s="29">
        <v>4.1</v>
      </c>
    </row>
    <row r="6" spans="1:15" ht="12.75">
      <c r="A6" s="74" t="s">
        <v>7</v>
      </c>
      <c r="B6" s="62">
        <v>40</v>
      </c>
      <c r="C6" s="75">
        <v>2</v>
      </c>
      <c r="D6" s="26">
        <v>1.3</v>
      </c>
      <c r="E6" s="27">
        <v>6</v>
      </c>
      <c r="F6" s="80" t="e">
        <f>-NA()</f>
        <v>#N/A</v>
      </c>
      <c r="G6" s="26">
        <v>8.5</v>
      </c>
      <c r="H6" s="26">
        <v>39.5</v>
      </c>
      <c r="I6" s="80" t="e">
        <f>-NA()</f>
        <v>#N/A</v>
      </c>
      <c r="J6" s="35" t="s">
        <v>30</v>
      </c>
      <c r="K6" s="35" t="s">
        <v>33</v>
      </c>
      <c r="L6" s="36" t="s">
        <v>35</v>
      </c>
      <c r="M6" s="35" t="s">
        <v>39</v>
      </c>
      <c r="N6" s="26" t="s">
        <v>41</v>
      </c>
      <c r="O6" s="29">
        <v>4.9</v>
      </c>
    </row>
    <row r="7" spans="1:15" ht="12.75">
      <c r="A7" s="74" t="s">
        <v>86</v>
      </c>
      <c r="B7" s="62">
        <v>46</v>
      </c>
      <c r="C7" s="75">
        <v>2</v>
      </c>
      <c r="D7" s="26">
        <v>2.8</v>
      </c>
      <c r="E7" s="26">
        <v>8.4</v>
      </c>
      <c r="F7" s="80" t="e">
        <f>-NA()</f>
        <v>#N/A</v>
      </c>
      <c r="G7" s="26">
        <v>15.5</v>
      </c>
      <c r="H7" s="26">
        <v>46.6</v>
      </c>
      <c r="I7" s="80" t="e">
        <f>-NA()</f>
        <v>#N/A</v>
      </c>
      <c r="J7" s="35" t="s">
        <v>45</v>
      </c>
      <c r="K7" s="35" t="s">
        <v>48</v>
      </c>
      <c r="L7" s="35" t="s">
        <v>51</v>
      </c>
      <c r="M7" s="37" t="s">
        <v>54</v>
      </c>
      <c r="N7" s="26" t="s">
        <v>56</v>
      </c>
      <c r="O7" s="29">
        <v>7.3</v>
      </c>
    </row>
    <row r="8" spans="1:15" ht="12.75">
      <c r="A8" s="74" t="s">
        <v>8</v>
      </c>
      <c r="B8" s="62">
        <v>52</v>
      </c>
      <c r="C8" s="75">
        <v>2</v>
      </c>
      <c r="D8" s="26">
        <v>3.2</v>
      </c>
      <c r="E8" s="26">
        <v>10.5</v>
      </c>
      <c r="F8" s="80" t="e">
        <f>-NA()</f>
        <v>#N/A</v>
      </c>
      <c r="G8" s="26">
        <v>16.2</v>
      </c>
      <c r="H8" s="27">
        <v>52</v>
      </c>
      <c r="I8" s="80" t="e">
        <f>-NA()</f>
        <v>#N/A</v>
      </c>
      <c r="J8" s="35" t="s">
        <v>46</v>
      </c>
      <c r="K8" s="37" t="s">
        <v>49</v>
      </c>
      <c r="L8" s="37" t="s">
        <v>52</v>
      </c>
      <c r="M8" s="37" t="s">
        <v>55</v>
      </c>
      <c r="N8" s="26" t="s">
        <v>57</v>
      </c>
      <c r="O8" s="29">
        <v>9.9</v>
      </c>
    </row>
    <row r="9" spans="1:15" ht="13.5" thickBot="1">
      <c r="A9" s="76" t="s">
        <v>87</v>
      </c>
      <c r="B9" s="78">
        <v>58</v>
      </c>
      <c r="C9" s="77">
        <v>2</v>
      </c>
      <c r="D9" s="30">
        <v>3.7</v>
      </c>
      <c r="E9" s="30">
        <v>13.1</v>
      </c>
      <c r="F9" s="81" t="e">
        <f>-NA()</f>
        <v>#N/A</v>
      </c>
      <c r="G9" s="30">
        <v>16.1</v>
      </c>
      <c r="H9" s="30">
        <v>57.7</v>
      </c>
      <c r="I9" s="81" t="e">
        <f>-NA()</f>
        <v>#N/A</v>
      </c>
      <c r="J9" s="38" t="s">
        <v>47</v>
      </c>
      <c r="K9" s="39" t="s">
        <v>50</v>
      </c>
      <c r="L9" s="39" t="s">
        <v>53</v>
      </c>
      <c r="M9" s="39" t="s">
        <v>46</v>
      </c>
      <c r="N9" s="40" t="s">
        <v>58</v>
      </c>
      <c r="O9" s="33">
        <v>15</v>
      </c>
    </row>
    <row r="10" spans="1:3" ht="12.75">
      <c r="A10" s="60"/>
      <c r="B10" s="60"/>
      <c r="C10" s="60"/>
    </row>
    <row r="11" spans="1:16" ht="21" thickBot="1">
      <c r="A11" s="352" t="s">
        <v>93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</row>
    <row r="12" spans="1:17" ht="32.25" customHeight="1">
      <c r="A12" s="357" t="s">
        <v>59</v>
      </c>
      <c r="B12" s="355" t="s">
        <v>95</v>
      </c>
      <c r="C12" s="355" t="s">
        <v>96</v>
      </c>
      <c r="D12" s="351" t="s">
        <v>42</v>
      </c>
      <c r="E12" s="351"/>
      <c r="F12" s="70"/>
      <c r="G12" s="351" t="s">
        <v>103</v>
      </c>
      <c r="H12" s="351"/>
      <c r="I12" s="351"/>
      <c r="J12" s="70" t="s">
        <v>19</v>
      </c>
      <c r="K12" s="70" t="s">
        <v>20</v>
      </c>
      <c r="L12" s="70" t="s">
        <v>21</v>
      </c>
      <c r="M12" s="70" t="s">
        <v>36</v>
      </c>
      <c r="N12" s="70" t="s">
        <v>40</v>
      </c>
      <c r="O12" s="71" t="s">
        <v>18</v>
      </c>
      <c r="P12" s="288" t="s">
        <v>122</v>
      </c>
      <c r="Q12" s="353" t="s">
        <v>173</v>
      </c>
    </row>
    <row r="13" spans="1:17" ht="20.25" customHeight="1">
      <c r="A13" s="358"/>
      <c r="B13" s="356"/>
      <c r="C13" s="356"/>
      <c r="D13" s="66" t="s">
        <v>82</v>
      </c>
      <c r="E13" s="66" t="s">
        <v>83</v>
      </c>
      <c r="F13" s="66" t="s">
        <v>84</v>
      </c>
      <c r="G13" s="66" t="s">
        <v>82</v>
      </c>
      <c r="H13" s="66" t="s">
        <v>83</v>
      </c>
      <c r="I13" s="66" t="s">
        <v>84</v>
      </c>
      <c r="J13" s="72"/>
      <c r="K13" s="72"/>
      <c r="L13" s="72"/>
      <c r="M13" s="72"/>
      <c r="N13" s="72"/>
      <c r="O13" s="73" t="s">
        <v>97</v>
      </c>
      <c r="P13" s="289" t="s">
        <v>121</v>
      </c>
      <c r="Q13" s="353"/>
    </row>
    <row r="14" spans="1:17" ht="12.75">
      <c r="A14" s="74" t="s">
        <v>88</v>
      </c>
      <c r="B14" s="62">
        <v>12</v>
      </c>
      <c r="C14" s="75">
        <v>1</v>
      </c>
      <c r="D14" s="26">
        <v>1.3</v>
      </c>
      <c r="E14" s="82" t="e">
        <f>-NA()</f>
        <v>#N/A</v>
      </c>
      <c r="F14" s="80" t="e">
        <f>-NA()</f>
        <v>#N/A</v>
      </c>
      <c r="G14" s="26">
        <v>9.5</v>
      </c>
      <c r="H14" s="80" t="e">
        <f>-NA()</f>
        <v>#N/A</v>
      </c>
      <c r="I14" s="80" t="e">
        <f>-NA()</f>
        <v>#N/A</v>
      </c>
      <c r="J14" s="28">
        <f aca="true" t="shared" si="0" ref="J14:M19">SUBSTITUTE(J4,"mm","")/25.4</f>
        <v>2.7559055118110236</v>
      </c>
      <c r="K14" s="28">
        <f t="shared" si="0"/>
        <v>4.488188976377953</v>
      </c>
      <c r="L14" s="28">
        <f t="shared" si="0"/>
        <v>5.118110236220473</v>
      </c>
      <c r="M14" s="28">
        <f t="shared" si="0"/>
        <v>1.5748031496062993</v>
      </c>
      <c r="N14" s="26" t="s">
        <v>89</v>
      </c>
      <c r="O14" s="29">
        <f aca="true" t="shared" si="1" ref="O14:O19">O4*2.2</f>
        <v>6.16</v>
      </c>
      <c r="P14" s="290">
        <v>524</v>
      </c>
      <c r="Q14" s="291">
        <v>40</v>
      </c>
    </row>
    <row r="15" spans="1:17" ht="12.75">
      <c r="A15" s="74" t="s">
        <v>6</v>
      </c>
      <c r="B15" s="62">
        <v>28</v>
      </c>
      <c r="C15" s="75">
        <v>2</v>
      </c>
      <c r="D15" s="26">
        <v>1.3</v>
      </c>
      <c r="E15" s="82">
        <v>3.7</v>
      </c>
      <c r="F15" s="80" t="e">
        <f>-NA()</f>
        <v>#N/A</v>
      </c>
      <c r="G15" s="26">
        <v>9.5</v>
      </c>
      <c r="H15" s="26">
        <v>26.5</v>
      </c>
      <c r="I15" s="80" t="e">
        <f>-NA()</f>
        <v>#N/A</v>
      </c>
      <c r="J15" s="28">
        <f t="shared" si="0"/>
        <v>2.7559055118110236</v>
      </c>
      <c r="K15" s="28">
        <f t="shared" si="0"/>
        <v>4.921259842519685</v>
      </c>
      <c r="L15" s="28">
        <f t="shared" si="0"/>
        <v>5.984251968503937</v>
      </c>
      <c r="M15" s="28">
        <f t="shared" si="0"/>
        <v>2.440944881889764</v>
      </c>
      <c r="N15" s="26" t="s">
        <v>89</v>
      </c>
      <c r="O15" s="29">
        <f t="shared" si="1"/>
        <v>9.02</v>
      </c>
      <c r="P15" s="290">
        <v>994</v>
      </c>
      <c r="Q15" s="291">
        <v>65</v>
      </c>
    </row>
    <row r="16" spans="1:17" ht="12.75">
      <c r="A16" s="74" t="s">
        <v>7</v>
      </c>
      <c r="B16" s="62">
        <v>40</v>
      </c>
      <c r="C16" s="75">
        <v>2</v>
      </c>
      <c r="D16" s="26">
        <v>1.3</v>
      </c>
      <c r="E16" s="103">
        <v>6</v>
      </c>
      <c r="F16" s="80" t="e">
        <f>-NA()</f>
        <v>#N/A</v>
      </c>
      <c r="G16" s="26">
        <v>8.5</v>
      </c>
      <c r="H16" s="26">
        <v>39.5</v>
      </c>
      <c r="I16" s="80" t="e">
        <f>-NA()</f>
        <v>#N/A</v>
      </c>
      <c r="J16" s="28">
        <f t="shared" si="0"/>
        <v>2.9921259842519685</v>
      </c>
      <c r="K16" s="28">
        <f t="shared" si="0"/>
        <v>5.984251968503937</v>
      </c>
      <c r="L16" s="28">
        <f t="shared" si="0"/>
        <v>6.771653543307087</v>
      </c>
      <c r="M16" s="28">
        <f t="shared" si="0"/>
        <v>2.677165354330709</v>
      </c>
      <c r="N16" s="26" t="s">
        <v>89</v>
      </c>
      <c r="O16" s="29">
        <f t="shared" si="1"/>
        <v>10.780000000000001</v>
      </c>
      <c r="P16" s="290">
        <v>1394</v>
      </c>
      <c r="Q16" s="291">
        <v>90</v>
      </c>
    </row>
    <row r="17" spans="1:17" ht="12.75">
      <c r="A17" s="74" t="s">
        <v>86</v>
      </c>
      <c r="B17" s="62">
        <v>46</v>
      </c>
      <c r="C17" s="75">
        <v>2</v>
      </c>
      <c r="D17" s="26">
        <v>2.8</v>
      </c>
      <c r="E17" s="82">
        <v>8.4</v>
      </c>
      <c r="F17" s="80" t="e">
        <f>-NA()</f>
        <v>#N/A</v>
      </c>
      <c r="G17" s="26">
        <v>15.5</v>
      </c>
      <c r="H17" s="26">
        <v>46.6</v>
      </c>
      <c r="I17" s="80" t="e">
        <f>-NA()</f>
        <v>#N/A</v>
      </c>
      <c r="J17" s="28">
        <f t="shared" si="0"/>
        <v>3.5433070866141736</v>
      </c>
      <c r="K17" s="28">
        <f t="shared" si="0"/>
        <v>7.086614173228347</v>
      </c>
      <c r="L17" s="28">
        <f t="shared" si="0"/>
        <v>8.070866141732283</v>
      </c>
      <c r="M17" s="28">
        <f t="shared" si="0"/>
        <v>3.346456692913386</v>
      </c>
      <c r="N17" s="26" t="s">
        <v>90</v>
      </c>
      <c r="O17" s="29">
        <f t="shared" si="1"/>
        <v>16.060000000000002</v>
      </c>
      <c r="P17" s="290">
        <f>1075/0.75</f>
        <v>1433.3333333333333</v>
      </c>
      <c r="Q17" s="291">
        <v>140</v>
      </c>
    </row>
    <row r="18" spans="1:17" ht="12.75">
      <c r="A18" s="74" t="s">
        <v>8</v>
      </c>
      <c r="B18" s="62">
        <v>52</v>
      </c>
      <c r="C18" s="75">
        <v>2</v>
      </c>
      <c r="D18" s="26">
        <v>3.2</v>
      </c>
      <c r="E18" s="82">
        <v>10.5</v>
      </c>
      <c r="F18" s="80" t="e">
        <f>-NA()</f>
        <v>#N/A</v>
      </c>
      <c r="G18" s="26">
        <v>16.2</v>
      </c>
      <c r="H18" s="27">
        <v>52</v>
      </c>
      <c r="I18" s="80" t="e">
        <f>-NA()</f>
        <v>#N/A</v>
      </c>
      <c r="J18" s="28">
        <f t="shared" si="0"/>
        <v>3.937007874015748</v>
      </c>
      <c r="K18" s="28">
        <f t="shared" si="0"/>
        <v>7.874015748031496</v>
      </c>
      <c r="L18" s="28">
        <f t="shared" si="0"/>
        <v>8.858267716535433</v>
      </c>
      <c r="M18" s="28">
        <f t="shared" si="0"/>
        <v>3.8582677165354333</v>
      </c>
      <c r="N18" s="26" t="s">
        <v>90</v>
      </c>
      <c r="O18" s="29">
        <f t="shared" si="1"/>
        <v>21.78</v>
      </c>
      <c r="P18" s="290">
        <v>3399</v>
      </c>
      <c r="Q18" s="291">
        <v>150</v>
      </c>
    </row>
    <row r="19" spans="1:17" ht="14.25" customHeight="1" thickBot="1">
      <c r="A19" s="76" t="s">
        <v>87</v>
      </c>
      <c r="B19" s="78">
        <v>58</v>
      </c>
      <c r="C19" s="77">
        <v>2</v>
      </c>
      <c r="D19" s="30">
        <v>3.7</v>
      </c>
      <c r="E19" s="104">
        <v>13.1</v>
      </c>
      <c r="F19" s="81" t="e">
        <f>-NA()</f>
        <v>#N/A</v>
      </c>
      <c r="G19" s="30">
        <v>16.1</v>
      </c>
      <c r="H19" s="30">
        <v>57.7</v>
      </c>
      <c r="I19" s="81" t="e">
        <f>-NA()</f>
        <v>#N/A</v>
      </c>
      <c r="J19" s="31">
        <f t="shared" si="0"/>
        <v>4.52755905511811</v>
      </c>
      <c r="K19" s="31">
        <f t="shared" si="0"/>
        <v>9.05511811023622</v>
      </c>
      <c r="L19" s="31">
        <f t="shared" si="0"/>
        <v>10.15748031496063</v>
      </c>
      <c r="M19" s="31">
        <f t="shared" si="0"/>
        <v>3.937007874015748</v>
      </c>
      <c r="N19" s="32" t="s">
        <v>91</v>
      </c>
      <c r="O19" s="33">
        <f t="shared" si="1"/>
        <v>33</v>
      </c>
      <c r="P19" s="290">
        <f>2228/0.75</f>
        <v>2970.6666666666665</v>
      </c>
      <c r="Q19" s="291">
        <v>160</v>
      </c>
    </row>
    <row r="21" spans="17:18" ht="12.75">
      <c r="Q21" s="332"/>
      <c r="R21" s="332"/>
    </row>
    <row r="22" spans="17:18" ht="12.75">
      <c r="Q22" s="332"/>
      <c r="R22" s="332"/>
    </row>
    <row r="23" spans="17:18" ht="12.75">
      <c r="Q23" s="332"/>
      <c r="R23" s="332"/>
    </row>
    <row r="24" spans="8:18" ht="12.75">
      <c r="H24" s="24"/>
      <c r="I24" s="24"/>
      <c r="Q24" s="332"/>
      <c r="R24" s="332"/>
    </row>
    <row r="25" spans="17:18" ht="12.75">
      <c r="Q25" s="332"/>
      <c r="R25" s="332"/>
    </row>
    <row r="26" spans="17:18" ht="12.75">
      <c r="Q26" s="332"/>
      <c r="R26" s="332"/>
    </row>
    <row r="50" ht="12.75">
      <c r="P50" s="25"/>
    </row>
    <row r="67" ht="14.25" customHeight="1"/>
  </sheetData>
  <sheetProtection/>
  <mergeCells count="19">
    <mergeCell ref="A1:O1"/>
    <mergeCell ref="B2:B3"/>
    <mergeCell ref="B12:B13"/>
    <mergeCell ref="C2:C3"/>
    <mergeCell ref="C12:C13"/>
    <mergeCell ref="D2:F2"/>
    <mergeCell ref="G12:I12"/>
    <mergeCell ref="G2:I2"/>
    <mergeCell ref="A2:A3"/>
    <mergeCell ref="A12:A13"/>
    <mergeCell ref="D12:E12"/>
    <mergeCell ref="A11:P11"/>
    <mergeCell ref="Q21:R21"/>
    <mergeCell ref="Q26:R26"/>
    <mergeCell ref="Q12:Q13"/>
    <mergeCell ref="Q22:R22"/>
    <mergeCell ref="Q23:R23"/>
    <mergeCell ref="Q24:R24"/>
    <mergeCell ref="Q25:R25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4"/>
  <sheetViews>
    <sheetView workbookViewId="0" topLeftCell="A1">
      <selection activeCell="P5" sqref="P5:P13"/>
    </sheetView>
  </sheetViews>
  <sheetFormatPr defaultColWidth="9.140625" defaultRowHeight="12.75"/>
  <cols>
    <col min="1" max="1" width="8.00390625" style="0" customWidth="1"/>
    <col min="2" max="2" width="4.140625" style="0" customWidth="1"/>
    <col min="3" max="3" width="3.8515625" style="101" customWidth="1"/>
    <col min="4" max="4" width="4.140625" style="101" customWidth="1"/>
    <col min="5" max="6" width="5.140625" style="0" bestFit="1" customWidth="1"/>
    <col min="7" max="7" width="6.57421875" style="0" bestFit="1" customWidth="1"/>
    <col min="8" max="9" width="8.00390625" style="0" bestFit="1" customWidth="1"/>
    <col min="10" max="11" width="7.140625" style="0" bestFit="1" customWidth="1"/>
    <col min="12" max="12" width="8.140625" style="0" bestFit="1" customWidth="1"/>
    <col min="13" max="13" width="10.140625" style="0" bestFit="1" customWidth="1"/>
    <col min="14" max="14" width="9.7109375" style="0" bestFit="1" customWidth="1"/>
    <col min="15" max="15" width="7.421875" style="0" bestFit="1" customWidth="1"/>
    <col min="16" max="16" width="10.28125" style="0" bestFit="1" customWidth="1"/>
  </cols>
  <sheetData>
    <row r="1" spans="1:16" ht="18" thickBot="1">
      <c r="A1" s="362" t="s">
        <v>67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6" ht="12.75" customHeight="1">
      <c r="A2" s="364" t="s">
        <v>59</v>
      </c>
      <c r="B2" s="361" t="s">
        <v>95</v>
      </c>
      <c r="C2" s="361" t="s">
        <v>96</v>
      </c>
      <c r="D2" s="365" t="s">
        <v>42</v>
      </c>
      <c r="E2" s="365"/>
      <c r="F2" s="365"/>
      <c r="G2" s="365" t="s">
        <v>103</v>
      </c>
      <c r="H2" s="365"/>
      <c r="I2" s="365"/>
      <c r="J2" s="359" t="s">
        <v>19</v>
      </c>
      <c r="K2" s="359" t="s">
        <v>20</v>
      </c>
      <c r="L2" s="359" t="s">
        <v>21</v>
      </c>
      <c r="M2" s="365" t="s">
        <v>36</v>
      </c>
      <c r="N2" s="365" t="s">
        <v>40</v>
      </c>
      <c r="O2" s="366" t="s">
        <v>18</v>
      </c>
      <c r="P2" s="276" t="s">
        <v>122</v>
      </c>
    </row>
    <row r="3" spans="1:16" ht="15" customHeight="1">
      <c r="A3" s="364"/>
      <c r="B3" s="361"/>
      <c r="C3" s="361"/>
      <c r="D3" s="365"/>
      <c r="E3" s="365"/>
      <c r="F3" s="365"/>
      <c r="G3" s="365"/>
      <c r="H3" s="365"/>
      <c r="I3" s="365"/>
      <c r="J3" s="360"/>
      <c r="K3" s="360"/>
      <c r="L3" s="360"/>
      <c r="M3" s="365"/>
      <c r="N3" s="365"/>
      <c r="O3" s="367"/>
      <c r="P3" s="277" t="s">
        <v>121</v>
      </c>
    </row>
    <row r="4" spans="1:16" ht="18" customHeight="1">
      <c r="A4" s="364"/>
      <c r="B4" s="361"/>
      <c r="C4" s="361"/>
      <c r="D4" s="275" t="s">
        <v>82</v>
      </c>
      <c r="E4" s="275" t="s">
        <v>83</v>
      </c>
      <c r="F4" s="275" t="s">
        <v>84</v>
      </c>
      <c r="G4" s="275" t="s">
        <v>82</v>
      </c>
      <c r="H4" s="275" t="s">
        <v>83</v>
      </c>
      <c r="I4" s="275" t="s">
        <v>84</v>
      </c>
      <c r="J4" s="275" t="s">
        <v>109</v>
      </c>
      <c r="K4" s="275" t="s">
        <v>109</v>
      </c>
      <c r="L4" s="275" t="s">
        <v>109</v>
      </c>
      <c r="M4" s="275"/>
      <c r="N4" s="275" t="s">
        <v>109</v>
      </c>
      <c r="O4" s="278" t="s">
        <v>97</v>
      </c>
      <c r="P4" s="277"/>
    </row>
    <row r="5" spans="1:16" ht="12.75">
      <c r="A5" s="279" t="s">
        <v>98</v>
      </c>
      <c r="B5" s="279">
        <v>16</v>
      </c>
      <c r="C5" s="275">
        <v>2</v>
      </c>
      <c r="D5" s="280">
        <v>2</v>
      </c>
      <c r="E5" s="281" t="e">
        <f>NA()</f>
        <v>#N/A</v>
      </c>
      <c r="F5" s="281" t="e">
        <f>NA()</f>
        <v>#N/A</v>
      </c>
      <c r="G5" s="282">
        <v>15.8</v>
      </c>
      <c r="H5" s="282" t="e">
        <f>NA()</f>
        <v>#N/A</v>
      </c>
      <c r="I5" s="282" t="e">
        <f>NA()</f>
        <v>#N/A</v>
      </c>
      <c r="J5" s="283">
        <v>2.5625</v>
      </c>
      <c r="K5" s="283">
        <v>4.75</v>
      </c>
      <c r="L5" s="284">
        <v>5.75</v>
      </c>
      <c r="M5" s="283">
        <v>2.3125</v>
      </c>
      <c r="N5" s="285" t="s">
        <v>24</v>
      </c>
      <c r="O5" s="287">
        <v>1.9</v>
      </c>
      <c r="P5" s="274">
        <v>620</v>
      </c>
    </row>
    <row r="6" spans="1:16" ht="12.75">
      <c r="A6" s="279" t="s">
        <v>15</v>
      </c>
      <c r="B6" s="279">
        <v>30</v>
      </c>
      <c r="C6" s="275">
        <v>2</v>
      </c>
      <c r="D6" s="280">
        <v>2</v>
      </c>
      <c r="E6" s="281">
        <v>4.2</v>
      </c>
      <c r="F6" s="281" t="e">
        <f>NA()</f>
        <v>#N/A</v>
      </c>
      <c r="G6" s="282">
        <v>13.8</v>
      </c>
      <c r="H6" s="282">
        <v>29.2</v>
      </c>
      <c r="I6" s="282" t="e">
        <f>NA()</f>
        <v>#N/A</v>
      </c>
      <c r="J6" s="283">
        <v>2.9375</v>
      </c>
      <c r="K6" s="283">
        <v>5.4375</v>
      </c>
      <c r="L6" s="284">
        <v>6.3125</v>
      </c>
      <c r="M6" s="283">
        <v>2.6875</v>
      </c>
      <c r="N6" s="285" t="s">
        <v>24</v>
      </c>
      <c r="O6" s="287">
        <v>12.8</v>
      </c>
      <c r="P6" s="274">
        <v>999</v>
      </c>
    </row>
    <row r="7" spans="1:16" ht="12.75">
      <c r="A7" s="279" t="s">
        <v>14</v>
      </c>
      <c r="B7" s="279">
        <v>40</v>
      </c>
      <c r="C7" s="275">
        <v>2</v>
      </c>
      <c r="D7" s="280">
        <v>1.9</v>
      </c>
      <c r="E7" s="281">
        <v>5.8</v>
      </c>
      <c r="F7" s="281" t="e">
        <f>NA()</f>
        <v>#N/A</v>
      </c>
      <c r="G7" s="282">
        <v>13.2</v>
      </c>
      <c r="H7" s="282">
        <v>40.2</v>
      </c>
      <c r="I7" s="282" t="e">
        <f>NA()</f>
        <v>#N/A</v>
      </c>
      <c r="J7" s="283">
        <v>2.9</v>
      </c>
      <c r="K7" s="283">
        <v>5.8125</v>
      </c>
      <c r="L7" s="284">
        <v>6.8125</v>
      </c>
      <c r="M7" s="283">
        <v>3.125</v>
      </c>
      <c r="N7" s="285" t="s">
        <v>24</v>
      </c>
      <c r="O7" s="287">
        <v>14.7</v>
      </c>
      <c r="P7" s="274">
        <v>1130</v>
      </c>
    </row>
    <row r="8" spans="1:16" ht="12.75">
      <c r="A8" s="279" t="s">
        <v>99</v>
      </c>
      <c r="B8" s="279">
        <v>44</v>
      </c>
      <c r="C8" s="275">
        <v>2</v>
      </c>
      <c r="D8" s="280">
        <v>2.4</v>
      </c>
      <c r="E8" s="281">
        <v>7.6</v>
      </c>
      <c r="F8" s="281" t="e">
        <f>NA()</f>
        <v>#N/A</v>
      </c>
      <c r="G8" s="282">
        <v>13.9</v>
      </c>
      <c r="H8" s="282">
        <v>44.8</v>
      </c>
      <c r="I8" s="282" t="e">
        <f>NA()</f>
        <v>#N/A</v>
      </c>
      <c r="J8" s="283">
        <v>3.4375</v>
      </c>
      <c r="K8" s="283">
        <v>6.625</v>
      </c>
      <c r="L8" s="284">
        <v>7.5625</v>
      </c>
      <c r="M8" s="283">
        <v>3.3125</v>
      </c>
      <c r="N8" s="285" t="s">
        <v>25</v>
      </c>
      <c r="O8" s="287">
        <v>22</v>
      </c>
      <c r="P8" s="274">
        <v>1630</v>
      </c>
    </row>
    <row r="9" spans="1:16" ht="12.75">
      <c r="A9" s="279" t="s">
        <v>100</v>
      </c>
      <c r="B9" s="279">
        <v>48</v>
      </c>
      <c r="C9" s="275">
        <v>2</v>
      </c>
      <c r="D9" s="280">
        <v>2.6</v>
      </c>
      <c r="E9" s="281">
        <v>9</v>
      </c>
      <c r="F9" s="281" t="e">
        <f>NA()</f>
        <v>#N/A</v>
      </c>
      <c r="G9" s="282">
        <v>13.9</v>
      </c>
      <c r="H9" s="282">
        <v>48.6</v>
      </c>
      <c r="I9" s="282" t="e">
        <f>NA()</f>
        <v>#N/A</v>
      </c>
      <c r="J9" s="283">
        <v>3.625</v>
      </c>
      <c r="K9" s="283">
        <v>7.125</v>
      </c>
      <c r="L9" s="284">
        <v>8.1875</v>
      </c>
      <c r="M9" s="283">
        <v>3.375</v>
      </c>
      <c r="N9" s="285" t="s">
        <v>25</v>
      </c>
      <c r="O9" s="287">
        <v>27.7</v>
      </c>
      <c r="P9" s="274">
        <v>1744</v>
      </c>
    </row>
    <row r="10" spans="1:16" ht="12.75">
      <c r="A10" s="279" t="s">
        <v>101</v>
      </c>
      <c r="B10" s="279">
        <v>50</v>
      </c>
      <c r="C10" s="275">
        <v>2</v>
      </c>
      <c r="D10" s="280">
        <v>2.8</v>
      </c>
      <c r="E10" s="281">
        <v>10.5</v>
      </c>
      <c r="F10" s="281" t="e">
        <f>NA()</f>
        <v>#N/A</v>
      </c>
      <c r="G10" s="282">
        <v>13.8</v>
      </c>
      <c r="H10" s="282">
        <v>50.6</v>
      </c>
      <c r="I10" s="282" t="e">
        <f>NA()</f>
        <v>#N/A</v>
      </c>
      <c r="J10" s="283">
        <v>4.125</v>
      </c>
      <c r="K10" s="283">
        <v>7.875</v>
      </c>
      <c r="L10" s="284">
        <v>9.375</v>
      </c>
      <c r="M10" s="283">
        <v>4.1875</v>
      </c>
      <c r="N10" s="285" t="s">
        <v>26</v>
      </c>
      <c r="O10" s="287">
        <v>37.2</v>
      </c>
      <c r="P10" s="274">
        <v>2048</v>
      </c>
    </row>
    <row r="11" spans="1:16" ht="12.75">
      <c r="A11" s="279" t="s">
        <v>13</v>
      </c>
      <c r="B11" s="279">
        <v>54</v>
      </c>
      <c r="C11" s="275">
        <v>2</v>
      </c>
      <c r="D11" s="280">
        <v>2.8</v>
      </c>
      <c r="E11" s="281">
        <v>11.2</v>
      </c>
      <c r="F11" s="281" t="e">
        <f>NA()</f>
        <v>#N/A</v>
      </c>
      <c r="G11" s="282">
        <v>13.8</v>
      </c>
      <c r="H11" s="280">
        <v>54</v>
      </c>
      <c r="I11" s="282" t="e">
        <f>NA()</f>
        <v>#N/A</v>
      </c>
      <c r="J11" s="283">
        <v>4.125</v>
      </c>
      <c r="K11" s="283">
        <v>8.0625</v>
      </c>
      <c r="L11" s="284">
        <v>9.875</v>
      </c>
      <c r="M11" s="283">
        <v>4.5</v>
      </c>
      <c r="N11" s="285" t="s">
        <v>26</v>
      </c>
      <c r="O11" s="287">
        <v>38.7</v>
      </c>
      <c r="P11" s="274">
        <v>2930</v>
      </c>
    </row>
    <row r="12" spans="1:16" ht="12.75">
      <c r="A12" s="279" t="s">
        <v>102</v>
      </c>
      <c r="B12" s="279">
        <v>58</v>
      </c>
      <c r="C12" s="275">
        <v>2</v>
      </c>
      <c r="D12" s="280">
        <v>3.1</v>
      </c>
      <c r="E12" s="281">
        <v>13.5</v>
      </c>
      <c r="F12" s="281" t="e">
        <f>NA()</f>
        <v>#N/A</v>
      </c>
      <c r="G12" s="282">
        <v>13.5</v>
      </c>
      <c r="H12" s="280">
        <v>58.1</v>
      </c>
      <c r="I12" s="282" t="e">
        <f>NA()</f>
        <v>#N/A</v>
      </c>
      <c r="J12" s="283">
        <v>4.625</v>
      </c>
      <c r="K12" s="283">
        <v>9</v>
      </c>
      <c r="L12" s="284">
        <v>10.5</v>
      </c>
      <c r="M12" s="283">
        <v>4.6875</v>
      </c>
      <c r="N12" s="285" t="s">
        <v>27</v>
      </c>
      <c r="O12" s="287">
        <v>47.5</v>
      </c>
      <c r="P12" s="274"/>
    </row>
    <row r="13" spans="1:16" ht="12.75">
      <c r="A13" s="279" t="s">
        <v>104</v>
      </c>
      <c r="B13" s="279">
        <v>64</v>
      </c>
      <c r="C13" s="275">
        <v>2</v>
      </c>
      <c r="D13" s="280">
        <v>3.1</v>
      </c>
      <c r="E13" s="281">
        <v>14.8</v>
      </c>
      <c r="F13" s="281" t="e">
        <f>NA()</f>
        <v>#N/A</v>
      </c>
      <c r="G13" s="282">
        <v>13.4</v>
      </c>
      <c r="H13" s="280">
        <v>64</v>
      </c>
      <c r="I13" s="282" t="e">
        <f>NA()</f>
        <v>#N/A</v>
      </c>
      <c r="J13" s="283">
        <v>4.625</v>
      </c>
      <c r="K13" s="283">
        <v>9.125</v>
      </c>
      <c r="L13" s="284">
        <v>10.6875</v>
      </c>
      <c r="M13" s="283">
        <v>4.8125</v>
      </c>
      <c r="N13" s="285" t="s">
        <v>27</v>
      </c>
      <c r="O13" s="287">
        <v>54.1</v>
      </c>
      <c r="P13" s="274"/>
    </row>
    <row r="14" ht="12.75">
      <c r="N14" s="102"/>
    </row>
  </sheetData>
  <sheetProtection/>
  <mergeCells count="12">
    <mergeCell ref="N2:N3"/>
    <mergeCell ref="J2:J3"/>
    <mergeCell ref="K2:K3"/>
    <mergeCell ref="L2:L3"/>
    <mergeCell ref="B2:B4"/>
    <mergeCell ref="A1:P1"/>
    <mergeCell ref="A2:A4"/>
    <mergeCell ref="D2:F3"/>
    <mergeCell ref="G2:I3"/>
    <mergeCell ref="C2:C4"/>
    <mergeCell ref="O2:O3"/>
    <mergeCell ref="M2:M3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ANZUS Technology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jstander</dc:creator>
  <cp:keywords/>
  <dc:description/>
  <cp:lastModifiedBy>Jeffrey M Stander</cp:lastModifiedBy>
  <cp:lastPrinted>2006-01-11T20:24:28Z</cp:lastPrinted>
  <dcterms:created xsi:type="dcterms:W3CDTF">2003-02-01T19:46:51Z</dcterms:created>
  <dcterms:modified xsi:type="dcterms:W3CDTF">2006-01-11T21:19:15Z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